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misionenergia-my.sharepoint.com/personal/onedrive-subdeptmelec_cne_cl/Documents/Indexación de la Potencia/2026/08_Agosto_2026/"/>
    </mc:Choice>
  </mc:AlternateContent>
  <xr:revisionPtr revIDLastSave="455" documentId="8_{5CC7F3F7-4167-4103-A21E-B51A93AA2A33}" xr6:coauthVersionLast="47" xr6:coauthVersionMax="47" xr10:uidLastSave="{E460204F-3268-494F-92EF-65471DD5D086}"/>
  <bookViews>
    <workbookView xWindow="28680" yWindow="-120" windowWidth="29040" windowHeight="15720" xr2:uid="{00000000-000D-0000-FFFF-FFFF00000000}"/>
  </bookViews>
  <sheets>
    <sheet name="Fuentes" sheetId="8" r:id="rId1"/>
    <sheet name="Indices" sheetId="28" r:id="rId2"/>
    <sheet name="Parámetros" sheetId="26" r:id="rId3"/>
    <sheet name="Indexacion" sheetId="25" r:id="rId4"/>
    <sheet name="Histórico" sheetId="24" r:id="rId5"/>
    <sheet name="Formulas" sheetId="27" r:id="rId6"/>
  </sheets>
  <definedNames>
    <definedName name="a">#REF!</definedName>
    <definedName name="ad">#REF!</definedName>
    <definedName name="Area_a_imprimir">#REF!</definedName>
    <definedName name="_xlnm.Print_Area" localSheetId="0">Fuentes!$A$1:$E$3</definedName>
    <definedName name="_xlnm.Print_Area" localSheetId="4">Histórico!$B$4:$B$4</definedName>
    <definedName name="c.c">#REF!</definedName>
    <definedName name="FpEpa">#REF!</definedName>
    <definedName name="VPCOMGpa">#REF!</definedName>
    <definedName name="VPCOMLpa">#REF!</definedName>
    <definedName name="VPGIEpa">#REF!</definedName>
    <definedName name="VPIGpa">#REF!</definedName>
    <definedName name="VPILpa">#REF!</definedName>
    <definedName name="VPRGpa">#REF!</definedName>
    <definedName name="VPRL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71" i="24" l="1"/>
  <c r="N171" i="24"/>
  <c r="G64" i="25"/>
  <c r="F64" i="25"/>
  <c r="E64" i="25"/>
  <c r="D64" i="25"/>
  <c r="K93" i="28"/>
  <c r="J93" i="28"/>
  <c r="I93" i="28"/>
  <c r="H93" i="28"/>
  <c r="D93" i="28"/>
  <c r="N170" i="24"/>
  <c r="S170" i="24"/>
  <c r="D63" i="25"/>
  <c r="E63" i="25"/>
  <c r="F63" i="25"/>
  <c r="G63" i="25"/>
  <c r="D92" i="28"/>
  <c r="H92" i="28"/>
  <c r="I92" i="28"/>
  <c r="J92" i="28"/>
  <c r="K92" i="28"/>
  <c r="S169" i="24"/>
  <c r="N169" i="24"/>
  <c r="G62" i="25"/>
  <c r="F62" i="25"/>
  <c r="E62" i="25"/>
  <c r="D62" i="25"/>
  <c r="D91" i="28"/>
  <c r="K91" i="28"/>
  <c r="J91" i="28"/>
  <c r="I91" i="28"/>
  <c r="H91" i="28"/>
  <c r="D90" i="28"/>
  <c r="N168" i="24"/>
  <c r="S168" i="24"/>
  <c r="D61" i="25"/>
  <c r="E61" i="25"/>
  <c r="F61" i="25"/>
  <c r="J84" i="28"/>
  <c r="K84" i="28"/>
  <c r="J85" i="28"/>
  <c r="K85" i="28"/>
  <c r="J86" i="28"/>
  <c r="K86" i="28"/>
  <c r="J87" i="28"/>
  <c r="K87" i="28"/>
  <c r="J88" i="28"/>
  <c r="K88" i="28"/>
  <c r="J90" i="28"/>
  <c r="K90" i="28"/>
  <c r="G61" i="25"/>
  <c r="H90" i="28"/>
  <c r="I90" i="28"/>
  <c r="S166" i="24"/>
  <c r="N166" i="24"/>
  <c r="F59" i="25"/>
  <c r="E59" i="25"/>
  <c r="D59" i="25"/>
  <c r="K83" i="28"/>
  <c r="J83" i="28"/>
  <c r="H88" i="28"/>
  <c r="S165" i="24"/>
  <c r="N165" i="24"/>
  <c r="F58" i="25"/>
  <c r="E58" i="25"/>
  <c r="D58" i="25"/>
  <c r="K82" i="28"/>
  <c r="J82" i="28"/>
  <c r="H87" i="28"/>
  <c r="S164" i="24"/>
  <c r="N164" i="24"/>
  <c r="F57" i="25"/>
  <c r="E57" i="25"/>
  <c r="D57" i="25"/>
  <c r="J81" i="28"/>
  <c r="H86" i="28"/>
  <c r="K81" i="28"/>
  <c r="S163" i="24"/>
  <c r="N163" i="24"/>
  <c r="F56" i="25"/>
  <c r="E56" i="25"/>
  <c r="D56" i="25"/>
  <c r="K80" i="28"/>
  <c r="J80" i="28"/>
  <c r="H85" i="28"/>
  <c r="H84" i="28"/>
  <c r="J79" i="28"/>
  <c r="K79" i="28"/>
  <c r="S64" i="25" l="1"/>
  <c r="R64" i="25"/>
  <c r="K64" i="25"/>
  <c r="J64" i="25"/>
  <c r="Q64" i="25"/>
  <c r="I64" i="25"/>
  <c r="T64" i="25"/>
  <c r="L64" i="25"/>
  <c r="I63" i="25"/>
  <c r="K63" i="25"/>
  <c r="T63" i="25"/>
  <c r="S63" i="25"/>
  <c r="Q63" i="25"/>
  <c r="L63" i="25"/>
  <c r="J63" i="25"/>
  <c r="R63" i="25"/>
  <c r="S62" i="25"/>
  <c r="R62" i="25"/>
  <c r="Q62" i="25"/>
  <c r="L62" i="25"/>
  <c r="J62" i="25"/>
  <c r="T62" i="25"/>
  <c r="K62" i="25"/>
  <c r="I62" i="25"/>
  <c r="T61" i="25"/>
  <c r="L61" i="25"/>
  <c r="Q61" i="25"/>
  <c r="I61" i="25"/>
  <c r="K61" i="25"/>
  <c r="J61" i="25"/>
  <c r="R61" i="25"/>
  <c r="S61" i="25"/>
  <c r="S162" i="24"/>
  <c r="N162" i="24"/>
  <c r="F55" i="25"/>
  <c r="E55" i="25"/>
  <c r="D55" i="25"/>
  <c r="E54" i="25"/>
  <c r="H83" i="28"/>
  <c r="D54" i="25"/>
  <c r="F54" i="25"/>
  <c r="N161" i="24"/>
  <c r="S161" i="24"/>
  <c r="S160" i="24"/>
  <c r="N160" i="24"/>
  <c r="F53" i="25"/>
  <c r="E53" i="25"/>
  <c r="D53" i="25"/>
  <c r="J76" i="28"/>
  <c r="K76" i="28"/>
  <c r="J77" i="28"/>
  <c r="K77" i="28"/>
  <c r="J78" i="28"/>
  <c r="K78" i="28"/>
  <c r="H82" i="28"/>
  <c r="D52" i="25"/>
  <c r="E52" i="25"/>
  <c r="V52" i="25"/>
  <c r="S159" i="24" s="1"/>
  <c r="N52" i="25"/>
  <c r="N159" i="24" s="1"/>
  <c r="F52" i="25"/>
  <c r="H81" i="28"/>
  <c r="V51" i="25"/>
  <c r="S158" i="24" s="1"/>
  <c r="D51" i="25"/>
  <c r="E51" i="25"/>
  <c r="F51" i="25"/>
  <c r="N51" i="25"/>
  <c r="N158" i="24" s="1"/>
  <c r="H80" i="28"/>
  <c r="J75" i="28"/>
  <c r="K75" i="28"/>
  <c r="N47" i="25"/>
  <c r="N48" i="25"/>
  <c r="N50" i="25"/>
  <c r="D47" i="25"/>
  <c r="M64" i="25" l="1"/>
  <c r="U64" i="25"/>
  <c r="M63" i="25"/>
  <c r="O63" i="25" s="1"/>
  <c r="U63" i="25"/>
  <c r="M62" i="25"/>
  <c r="O62" i="25" s="1"/>
  <c r="U62" i="25"/>
  <c r="M61" i="25"/>
  <c r="U61" i="25"/>
  <c r="D50" i="25"/>
  <c r="V50" i="25"/>
  <c r="S157" i="24" s="1"/>
  <c r="N157" i="24"/>
  <c r="F50" i="25"/>
  <c r="E50" i="25"/>
  <c r="H79" i="28"/>
  <c r="J74" i="28"/>
  <c r="K74" i="28"/>
  <c r="K73" i="28"/>
  <c r="J73" i="28"/>
  <c r="H78" i="28"/>
  <c r="D49" i="25"/>
  <c r="E49" i="25"/>
  <c r="F49" i="25"/>
  <c r="N49" i="25"/>
  <c r="N156" i="24" s="1"/>
  <c r="V49" i="25"/>
  <c r="S156" i="24" s="1"/>
  <c r="K72" i="28"/>
  <c r="J72" i="28"/>
  <c r="H77" i="28"/>
  <c r="D48" i="25"/>
  <c r="E48" i="25"/>
  <c r="F48" i="25"/>
  <c r="N155" i="24"/>
  <c r="V48" i="25"/>
  <c r="S155" i="24" s="1"/>
  <c r="H76" i="28"/>
  <c r="H75" i="28"/>
  <c r="H74" i="28"/>
  <c r="K71" i="28"/>
  <c r="J71" i="28"/>
  <c r="E47" i="25"/>
  <c r="F47" i="25"/>
  <c r="N154" i="24"/>
  <c r="V47" i="25"/>
  <c r="S154" i="24" s="1"/>
  <c r="J70" i="28"/>
  <c r="K70" i="28"/>
  <c r="J69" i="28"/>
  <c r="K69" i="28"/>
  <c r="D46" i="25"/>
  <c r="E46" i="25"/>
  <c r="F46" i="25"/>
  <c r="N46" i="25"/>
  <c r="N153" i="24" s="1"/>
  <c r="V46" i="25"/>
  <c r="S153" i="24" s="1"/>
  <c r="O64" i="25" l="1"/>
  <c r="O171" i="24"/>
  <c r="P171" i="24" s="1"/>
  <c r="W64" i="25"/>
  <c r="T171" i="24"/>
  <c r="U171" i="24" s="1"/>
  <c r="O170" i="24"/>
  <c r="P170" i="24" s="1"/>
  <c r="W63" i="25"/>
  <c r="T170" i="24"/>
  <c r="U170" i="24" s="1"/>
  <c r="O169" i="24"/>
  <c r="P169" i="24" s="1"/>
  <c r="W62" i="25"/>
  <c r="T169" i="24"/>
  <c r="U169" i="24" s="1"/>
  <c r="W61" i="25"/>
  <c r="T168" i="24"/>
  <c r="U168" i="24" s="1"/>
  <c r="O168" i="24"/>
  <c r="P168" i="24" s="1"/>
  <c r="O61" i="25"/>
  <c r="D45" i="25"/>
  <c r="E45" i="25"/>
  <c r="F45" i="25"/>
  <c r="N45" i="25"/>
  <c r="N152" i="24" s="1"/>
  <c r="V45" i="25"/>
  <c r="S152" i="24" s="1"/>
  <c r="H73" i="28"/>
  <c r="K68" i="28"/>
  <c r="J68" i="28"/>
  <c r="K67" i="28"/>
  <c r="J67" i="28"/>
  <c r="K66" i="28"/>
  <c r="J66" i="28"/>
  <c r="D44" i="25"/>
  <c r="E44" i="25"/>
  <c r="F44" i="25"/>
  <c r="N44" i="25"/>
  <c r="N151" i="24" s="1"/>
  <c r="V44" i="25"/>
  <c r="S151" i="24" s="1"/>
  <c r="H72" i="28"/>
  <c r="I71" i="28"/>
  <c r="H71" i="28"/>
  <c r="D43" i="25"/>
  <c r="E43" i="25"/>
  <c r="F43" i="25"/>
  <c r="N43" i="25"/>
  <c r="N150" i="24" s="1"/>
  <c r="V43" i="25"/>
  <c r="S150" i="24" s="1"/>
  <c r="D42" i="25"/>
  <c r="E42" i="25"/>
  <c r="F42" i="25"/>
  <c r="G42" i="25"/>
  <c r="N42" i="25"/>
  <c r="N149" i="24" s="1"/>
  <c r="V42" i="25"/>
  <c r="S149" i="24" s="1"/>
  <c r="D41" i="25"/>
  <c r="E41" i="25"/>
  <c r="F41" i="25"/>
  <c r="N41" i="25"/>
  <c r="N148" i="24" s="1"/>
  <c r="V41" i="25"/>
  <c r="S148" i="24" s="1"/>
  <c r="K65" i="28"/>
  <c r="J65" i="28"/>
  <c r="H70" i="28"/>
  <c r="K64" i="28"/>
  <c r="J64" i="28"/>
  <c r="H69" i="28"/>
  <c r="D40" i="25"/>
  <c r="E40" i="25"/>
  <c r="F40" i="25"/>
  <c r="N40" i="25"/>
  <c r="N147" i="24" s="1"/>
  <c r="V40" i="25"/>
  <c r="S147" i="24" s="1"/>
  <c r="H68" i="28"/>
  <c r="D39" i="25"/>
  <c r="E39" i="25"/>
  <c r="F39" i="25"/>
  <c r="N39" i="25"/>
  <c r="N146" i="24" s="1"/>
  <c r="V39" i="25"/>
  <c r="S146" i="24" s="1"/>
  <c r="H67" i="28"/>
  <c r="D38" i="25"/>
  <c r="E38" i="25"/>
  <c r="F38" i="25"/>
  <c r="N38" i="25"/>
  <c r="N145" i="24" s="1"/>
  <c r="V38" i="25"/>
  <c r="S145" i="24" s="1"/>
  <c r="H66" i="28"/>
  <c r="D37" i="25"/>
  <c r="E37" i="25"/>
  <c r="F37" i="25"/>
  <c r="N37" i="25"/>
  <c r="N144" i="24" s="1"/>
  <c r="V37" i="25"/>
  <c r="S144" i="24" s="1"/>
  <c r="H65" i="28"/>
  <c r="D36" i="25"/>
  <c r="E36" i="25"/>
  <c r="F36" i="25"/>
  <c r="N36" i="25"/>
  <c r="N143" i="24" s="1"/>
  <c r="V36" i="25"/>
  <c r="S143" i="24" s="1"/>
  <c r="H64" i="28"/>
  <c r="D35" i="25"/>
  <c r="E35" i="25"/>
  <c r="F35" i="25"/>
  <c r="N35" i="25"/>
  <c r="N142" i="24" s="1"/>
  <c r="V35" i="25"/>
  <c r="S142" i="24" s="1"/>
  <c r="O55" i="28"/>
  <c r="D34" i="25"/>
  <c r="E34" i="25"/>
  <c r="F34" i="25"/>
  <c r="N34" i="25"/>
  <c r="N141" i="24" s="1"/>
  <c r="V34" i="25"/>
  <c r="S141" i="24" s="1"/>
  <c r="D33" i="25"/>
  <c r="E33" i="25"/>
  <c r="F33" i="25"/>
  <c r="G33" i="25"/>
  <c r="N33" i="25"/>
  <c r="N140" i="24" s="1"/>
  <c r="V33" i="25"/>
  <c r="S140" i="24" s="1"/>
  <c r="D68" i="28" l="1"/>
  <c r="D88" i="28"/>
  <c r="D86" i="28"/>
  <c r="D87" i="28"/>
  <c r="D79" i="28"/>
  <c r="D85" i="28"/>
  <c r="D81" i="28"/>
  <c r="D84" i="28"/>
  <c r="D82" i="28"/>
  <c r="D83" i="28"/>
  <c r="D78" i="28"/>
  <c r="D80" i="28"/>
  <c r="D77" i="28"/>
  <c r="D63" i="28"/>
  <c r="G34" i="25" s="1"/>
  <c r="T34" i="25" s="1"/>
  <c r="I68" i="28"/>
  <c r="G39" i="25"/>
  <c r="L39" i="25" s="1"/>
  <c r="D64" i="28"/>
  <c r="D66" i="28"/>
  <c r="D69" i="28"/>
  <c r="D70" i="28"/>
  <c r="D75" i="28"/>
  <c r="D76" i="28"/>
  <c r="D74" i="28"/>
  <c r="D72" i="28"/>
  <c r="D65" i="28"/>
  <c r="D73" i="28"/>
  <c r="D67" i="28"/>
  <c r="J42" i="25"/>
  <c r="L42" i="25"/>
  <c r="I42" i="25"/>
  <c r="S42" i="25"/>
  <c r="R42" i="25"/>
  <c r="Q42" i="25"/>
  <c r="T42" i="25"/>
  <c r="K42" i="25"/>
  <c r="S33" i="25"/>
  <c r="I33" i="25"/>
  <c r="L33" i="25"/>
  <c r="T33" i="25"/>
  <c r="R33" i="25"/>
  <c r="Q33" i="25"/>
  <c r="K33" i="25"/>
  <c r="J33" i="25"/>
  <c r="G59" i="25" l="1"/>
  <c r="I88" i="28"/>
  <c r="G57" i="25"/>
  <c r="I86" i="28"/>
  <c r="I87" i="28"/>
  <c r="G58" i="25"/>
  <c r="I85" i="28"/>
  <c r="G56" i="25"/>
  <c r="G52" i="25"/>
  <c r="I81" i="28"/>
  <c r="G55" i="25"/>
  <c r="I84" i="28"/>
  <c r="G53" i="25"/>
  <c r="I82" i="28"/>
  <c r="G54" i="25"/>
  <c r="I83" i="28"/>
  <c r="G51" i="25"/>
  <c r="I80" i="28"/>
  <c r="S39" i="25"/>
  <c r="J34" i="25"/>
  <c r="Q39" i="25"/>
  <c r="R39" i="25"/>
  <c r="S34" i="25"/>
  <c r="K34" i="25"/>
  <c r="R34" i="25"/>
  <c r="Q34" i="25"/>
  <c r="L34" i="25"/>
  <c r="I34" i="25"/>
  <c r="K39" i="25"/>
  <c r="T39" i="25"/>
  <c r="J39" i="25"/>
  <c r="I39" i="25"/>
  <c r="I73" i="28"/>
  <c r="G44" i="25"/>
  <c r="G43" i="25"/>
  <c r="I72" i="28"/>
  <c r="I74" i="28"/>
  <c r="G45" i="25"/>
  <c r="G48" i="25"/>
  <c r="I77" i="28"/>
  <c r="G47" i="25"/>
  <c r="I76" i="28"/>
  <c r="G38" i="25"/>
  <c r="I67" i="28"/>
  <c r="I79" i="28"/>
  <c r="G50" i="25"/>
  <c r="I75" i="28"/>
  <c r="G46" i="25"/>
  <c r="I78" i="28"/>
  <c r="G49" i="25"/>
  <c r="G41" i="25"/>
  <c r="I70" i="28"/>
  <c r="G40" i="25"/>
  <c r="I69" i="28"/>
  <c r="I66" i="28"/>
  <c r="G37" i="25"/>
  <c r="G36" i="25"/>
  <c r="I65" i="28"/>
  <c r="G35" i="25"/>
  <c r="I64" i="28"/>
  <c r="M42" i="25"/>
  <c r="O149" i="24" s="1"/>
  <c r="P149" i="24" s="1"/>
  <c r="U42" i="25"/>
  <c r="W42" i="25" s="1"/>
  <c r="U33" i="25"/>
  <c r="T140" i="24" s="1"/>
  <c r="U140" i="24" s="1"/>
  <c r="M33" i="25"/>
  <c r="O33" i="25" s="1"/>
  <c r="T59" i="25" l="1"/>
  <c r="J59" i="25"/>
  <c r="K59" i="25"/>
  <c r="Q59" i="25"/>
  <c r="I59" i="25"/>
  <c r="L59" i="25"/>
  <c r="S59" i="25"/>
  <c r="R59" i="25"/>
  <c r="T57" i="25"/>
  <c r="Q57" i="25"/>
  <c r="L57" i="25"/>
  <c r="S57" i="25"/>
  <c r="J57" i="25"/>
  <c r="I57" i="25"/>
  <c r="K57" i="25"/>
  <c r="R57" i="25"/>
  <c r="Q58" i="25"/>
  <c r="T58" i="25"/>
  <c r="S58" i="25"/>
  <c r="I58" i="25"/>
  <c r="R58" i="25"/>
  <c r="L58" i="25"/>
  <c r="J58" i="25"/>
  <c r="K58" i="25"/>
  <c r="I56" i="25"/>
  <c r="R56" i="25"/>
  <c r="J56" i="25"/>
  <c r="Q56" i="25"/>
  <c r="T56" i="25"/>
  <c r="L56" i="25"/>
  <c r="S56" i="25"/>
  <c r="K56" i="25"/>
  <c r="R52" i="25"/>
  <c r="K52" i="25"/>
  <c r="Q52" i="25"/>
  <c r="J52" i="25"/>
  <c r="L52" i="25"/>
  <c r="I52" i="25"/>
  <c r="T52" i="25"/>
  <c r="S52" i="25"/>
  <c r="I55" i="25"/>
  <c r="J55" i="25"/>
  <c r="L55" i="25"/>
  <c r="S55" i="25"/>
  <c r="T55" i="25"/>
  <c r="R55" i="25"/>
  <c r="K55" i="25"/>
  <c r="Q55" i="25"/>
  <c r="S53" i="25"/>
  <c r="L53" i="25"/>
  <c r="R53" i="25"/>
  <c r="I53" i="25"/>
  <c r="T53" i="25"/>
  <c r="Q53" i="25"/>
  <c r="K53" i="25"/>
  <c r="J53" i="25"/>
  <c r="Q54" i="25"/>
  <c r="T54" i="25"/>
  <c r="K54" i="25"/>
  <c r="R54" i="25"/>
  <c r="I54" i="25"/>
  <c r="J54" i="25"/>
  <c r="S54" i="25"/>
  <c r="L54" i="25"/>
  <c r="J51" i="25"/>
  <c r="K51" i="25"/>
  <c r="R51" i="25"/>
  <c r="I51" i="25"/>
  <c r="S51" i="25"/>
  <c r="T51" i="25"/>
  <c r="Q51" i="25"/>
  <c r="L51" i="25"/>
  <c r="U39" i="25"/>
  <c r="T146" i="24" s="1"/>
  <c r="U146" i="24" s="1"/>
  <c r="U34" i="25"/>
  <c r="M34" i="25"/>
  <c r="O34" i="25" s="1"/>
  <c r="M39" i="25"/>
  <c r="O146" i="24" s="1"/>
  <c r="P146" i="24" s="1"/>
  <c r="S50" i="25"/>
  <c r="T50" i="25"/>
  <c r="Q50" i="25"/>
  <c r="L50" i="25"/>
  <c r="I50" i="25"/>
  <c r="K50" i="25"/>
  <c r="R50" i="25"/>
  <c r="J50" i="25"/>
  <c r="T35" i="25"/>
  <c r="J35" i="25"/>
  <c r="K35" i="25"/>
  <c r="I35" i="25"/>
  <c r="R35" i="25"/>
  <c r="L35" i="25"/>
  <c r="Q35" i="25"/>
  <c r="S35" i="25"/>
  <c r="I38" i="25"/>
  <c r="L38" i="25"/>
  <c r="T38" i="25"/>
  <c r="R38" i="25"/>
  <c r="S38" i="25"/>
  <c r="K38" i="25"/>
  <c r="Q38" i="25"/>
  <c r="J38" i="25"/>
  <c r="L46" i="25"/>
  <c r="R46" i="25"/>
  <c r="J46" i="25"/>
  <c r="Q46" i="25"/>
  <c r="I46" i="25"/>
  <c r="T46" i="25"/>
  <c r="K46" i="25"/>
  <c r="S46" i="25"/>
  <c r="J36" i="25"/>
  <c r="I36" i="25"/>
  <c r="T36" i="25"/>
  <c r="R36" i="25"/>
  <c r="L36" i="25"/>
  <c r="S36" i="25"/>
  <c r="Q36" i="25"/>
  <c r="K36" i="25"/>
  <c r="K47" i="25"/>
  <c r="L47" i="25"/>
  <c r="Q47" i="25"/>
  <c r="T47" i="25"/>
  <c r="S47" i="25"/>
  <c r="J47" i="25"/>
  <c r="I47" i="25"/>
  <c r="R47" i="25"/>
  <c r="R37" i="25"/>
  <c r="J37" i="25"/>
  <c r="I37" i="25"/>
  <c r="L37" i="25"/>
  <c r="T37" i="25"/>
  <c r="S37" i="25"/>
  <c r="Q37" i="25"/>
  <c r="K37" i="25"/>
  <c r="Q48" i="25"/>
  <c r="R48" i="25"/>
  <c r="T48" i="25"/>
  <c r="L48" i="25"/>
  <c r="K48" i="25"/>
  <c r="J48" i="25"/>
  <c r="S48" i="25"/>
  <c r="I48" i="25"/>
  <c r="J45" i="25"/>
  <c r="Q45" i="25"/>
  <c r="T45" i="25"/>
  <c r="K45" i="25"/>
  <c r="S45" i="25"/>
  <c r="L45" i="25"/>
  <c r="I45" i="25"/>
  <c r="R45" i="25"/>
  <c r="I40" i="25"/>
  <c r="R40" i="25"/>
  <c r="L40" i="25"/>
  <c r="K40" i="25"/>
  <c r="J40" i="25"/>
  <c r="T40" i="25"/>
  <c r="S40" i="25"/>
  <c r="Q40" i="25"/>
  <c r="K41" i="25"/>
  <c r="I41" i="25"/>
  <c r="T41" i="25"/>
  <c r="L41" i="25"/>
  <c r="Q41" i="25"/>
  <c r="J41" i="25"/>
  <c r="R41" i="25"/>
  <c r="S41" i="25"/>
  <c r="K43" i="25"/>
  <c r="R43" i="25"/>
  <c r="T43" i="25"/>
  <c r="J43" i="25"/>
  <c r="I43" i="25"/>
  <c r="S43" i="25"/>
  <c r="L43" i="25"/>
  <c r="Q43" i="25"/>
  <c r="J44" i="25"/>
  <c r="I44" i="25"/>
  <c r="R44" i="25"/>
  <c r="Q44" i="25"/>
  <c r="S44" i="25"/>
  <c r="L44" i="25"/>
  <c r="K44" i="25"/>
  <c r="T44" i="25"/>
  <c r="R49" i="25"/>
  <c r="Q49" i="25"/>
  <c r="K49" i="25"/>
  <c r="J49" i="25"/>
  <c r="I49" i="25"/>
  <c r="L49" i="25"/>
  <c r="T49" i="25"/>
  <c r="S49" i="25"/>
  <c r="O42" i="25"/>
  <c r="T149" i="24"/>
  <c r="U149" i="24" s="1"/>
  <c r="W33" i="25"/>
  <c r="O140" i="24"/>
  <c r="P140" i="24" s="1"/>
  <c r="U51" i="25" l="1"/>
  <c r="U57" i="25"/>
  <c r="M52" i="25"/>
  <c r="U53" i="25"/>
  <c r="M51" i="25"/>
  <c r="M59" i="25"/>
  <c r="M57" i="25"/>
  <c r="U58" i="25"/>
  <c r="M58" i="25"/>
  <c r="M56" i="25"/>
  <c r="U56" i="25"/>
  <c r="U52" i="25"/>
  <c r="U55" i="25"/>
  <c r="M53" i="25"/>
  <c r="U54" i="25"/>
  <c r="M54" i="25"/>
  <c r="M55" i="25"/>
  <c r="U59" i="25"/>
  <c r="T141" i="24"/>
  <c r="U141" i="24" s="1"/>
  <c r="W34" i="25"/>
  <c r="M50" i="25"/>
  <c r="O50" i="25" s="1"/>
  <c r="W39" i="25"/>
  <c r="O141" i="24"/>
  <c r="P141" i="24" s="1"/>
  <c r="M49" i="25"/>
  <c r="O49" i="25" s="1"/>
  <c r="U40" i="25"/>
  <c r="W40" i="25" s="1"/>
  <c r="O39" i="25"/>
  <c r="U37" i="25"/>
  <c r="T144" i="24" s="1"/>
  <c r="U144" i="24" s="1"/>
  <c r="U43" i="25"/>
  <c r="T150" i="24" s="1"/>
  <c r="U150" i="24" s="1"/>
  <c r="U36" i="25"/>
  <c r="W36" i="25" s="1"/>
  <c r="M45" i="25"/>
  <c r="O152" i="24" s="1"/>
  <c r="P152" i="24" s="1"/>
  <c r="M48" i="25"/>
  <c r="O48" i="25" s="1"/>
  <c r="M41" i="25"/>
  <c r="O41" i="25" s="1"/>
  <c r="U38" i="25"/>
  <c r="T145" i="24" s="1"/>
  <c r="U145" i="24" s="1"/>
  <c r="M44" i="25"/>
  <c r="O151" i="24" s="1"/>
  <c r="P151" i="24" s="1"/>
  <c r="M47" i="25"/>
  <c r="O47" i="25" s="1"/>
  <c r="U35" i="25"/>
  <c r="M43" i="25"/>
  <c r="M46" i="25"/>
  <c r="U47" i="25"/>
  <c r="M40" i="25"/>
  <c r="U48" i="25"/>
  <c r="U49" i="25"/>
  <c r="M35" i="25"/>
  <c r="U46" i="25"/>
  <c r="U41" i="25"/>
  <c r="U44" i="25"/>
  <c r="M37" i="25"/>
  <c r="U50" i="25"/>
  <c r="U45" i="25"/>
  <c r="M36" i="25"/>
  <c r="M38" i="25"/>
  <c r="D32" i="25"/>
  <c r="E32" i="25"/>
  <c r="F32" i="25"/>
  <c r="G32" i="25"/>
  <c r="N32" i="25"/>
  <c r="V32" i="25"/>
  <c r="T158" i="24" l="1"/>
  <c r="U158" i="24" s="1"/>
  <c r="W51" i="25"/>
  <c r="W57" i="25"/>
  <c r="T164" i="24"/>
  <c r="U164" i="24" s="1"/>
  <c r="O59" i="25"/>
  <c r="O159" i="24"/>
  <c r="P159" i="24" s="1"/>
  <c r="O52" i="25"/>
  <c r="O166" i="24"/>
  <c r="P166" i="24" s="1"/>
  <c r="T160" i="24"/>
  <c r="U160" i="24" s="1"/>
  <c r="W53" i="25"/>
  <c r="O51" i="25"/>
  <c r="O158" i="24"/>
  <c r="P158" i="24" s="1"/>
  <c r="O164" i="24"/>
  <c r="P164" i="24" s="1"/>
  <c r="O57" i="25"/>
  <c r="W58" i="25"/>
  <c r="T165" i="24"/>
  <c r="U165" i="24" s="1"/>
  <c r="O165" i="24"/>
  <c r="P165" i="24" s="1"/>
  <c r="O58" i="25"/>
  <c r="O56" i="25"/>
  <c r="O163" i="24"/>
  <c r="P163" i="24" s="1"/>
  <c r="T163" i="24"/>
  <c r="U163" i="24" s="1"/>
  <c r="W56" i="25"/>
  <c r="W52" i="25"/>
  <c r="T159" i="24"/>
  <c r="U159" i="24" s="1"/>
  <c r="W55" i="25"/>
  <c r="T162" i="24"/>
  <c r="U162" i="24" s="1"/>
  <c r="O53" i="25"/>
  <c r="O160" i="24"/>
  <c r="P160" i="24" s="1"/>
  <c r="W54" i="25"/>
  <c r="T161" i="24"/>
  <c r="U161" i="24" s="1"/>
  <c r="O54" i="25"/>
  <c r="O161" i="24"/>
  <c r="P161" i="24" s="1"/>
  <c r="O55" i="25"/>
  <c r="O162" i="24"/>
  <c r="P162" i="24" s="1"/>
  <c r="W59" i="25"/>
  <c r="T166" i="24"/>
  <c r="U166" i="24" s="1"/>
  <c r="T147" i="24"/>
  <c r="U147" i="24" s="1"/>
  <c r="O155" i="24"/>
  <c r="P155" i="24" s="1"/>
  <c r="W37" i="25"/>
  <c r="W43" i="25"/>
  <c r="O45" i="25"/>
  <c r="T143" i="24"/>
  <c r="U143" i="24" s="1"/>
  <c r="O148" i="24"/>
  <c r="P148" i="24" s="1"/>
  <c r="W38" i="25"/>
  <c r="O156" i="24"/>
  <c r="P156" i="24" s="1"/>
  <c r="O44" i="25"/>
  <c r="O157" i="24"/>
  <c r="P157" i="24" s="1"/>
  <c r="O143" i="24"/>
  <c r="P143" i="24" s="1"/>
  <c r="O36" i="25"/>
  <c r="T152" i="24"/>
  <c r="U152" i="24" s="1"/>
  <c r="W45" i="25"/>
  <c r="W49" i="25"/>
  <c r="T156" i="24"/>
  <c r="U156" i="24" s="1"/>
  <c r="T155" i="24"/>
  <c r="U155" i="24" s="1"/>
  <c r="W48" i="25"/>
  <c r="O144" i="24"/>
  <c r="P144" i="24" s="1"/>
  <c r="O37" i="25"/>
  <c r="O40" i="25"/>
  <c r="O147" i="24"/>
  <c r="P147" i="24" s="1"/>
  <c r="W47" i="25"/>
  <c r="T154" i="24"/>
  <c r="U154" i="24" s="1"/>
  <c r="W50" i="25"/>
  <c r="T157" i="24"/>
  <c r="U157" i="24" s="1"/>
  <c r="O153" i="24"/>
  <c r="P153" i="24" s="1"/>
  <c r="O46" i="25"/>
  <c r="O38" i="25"/>
  <c r="O145" i="24"/>
  <c r="P145" i="24" s="1"/>
  <c r="O43" i="25"/>
  <c r="O150" i="24"/>
  <c r="P150" i="24" s="1"/>
  <c r="T151" i="24"/>
  <c r="U151" i="24" s="1"/>
  <c r="W44" i="25"/>
  <c r="T148" i="24"/>
  <c r="U148" i="24" s="1"/>
  <c r="W41" i="25"/>
  <c r="W46" i="25"/>
  <c r="T153" i="24"/>
  <c r="U153" i="24" s="1"/>
  <c r="T142" i="24"/>
  <c r="U142" i="24" s="1"/>
  <c r="W35" i="25"/>
  <c r="O142" i="24"/>
  <c r="P142" i="24" s="1"/>
  <c r="O35" i="25"/>
  <c r="O154" i="24"/>
  <c r="P154" i="24" s="1"/>
  <c r="J32" i="25"/>
  <c r="T32" i="25"/>
  <c r="I32" i="25"/>
  <c r="L32" i="25"/>
  <c r="R32" i="25"/>
  <c r="Q32" i="25"/>
  <c r="S32" i="25"/>
  <c r="K32" i="25"/>
  <c r="N139" i="24"/>
  <c r="S139" i="24"/>
  <c r="D31" i="25"/>
  <c r="E31" i="25"/>
  <c r="F31" i="25"/>
  <c r="G31" i="25"/>
  <c r="N31" i="25"/>
  <c r="N138" i="24" s="1"/>
  <c r="V31" i="25"/>
  <c r="S138" i="24" s="1"/>
  <c r="D30" i="25"/>
  <c r="E30" i="25"/>
  <c r="F30" i="25"/>
  <c r="G30" i="25"/>
  <c r="N30" i="25"/>
  <c r="N137" i="24" s="1"/>
  <c r="V30" i="25"/>
  <c r="S137" i="24" s="1"/>
  <c r="V29" i="25"/>
  <c r="S136" i="24" s="1"/>
  <c r="N29" i="25"/>
  <c r="N136" i="24" s="1"/>
  <c r="G29" i="25"/>
  <c r="F29" i="25"/>
  <c r="E29" i="25"/>
  <c r="D29" i="25"/>
  <c r="V28" i="25"/>
  <c r="S135" i="24" s="1"/>
  <c r="N28" i="25"/>
  <c r="N135" i="24" s="1"/>
  <c r="G28" i="25"/>
  <c r="F28" i="25"/>
  <c r="E28" i="25"/>
  <c r="D28" i="25"/>
  <c r="V27" i="25"/>
  <c r="S134" i="24" s="1"/>
  <c r="N27" i="25"/>
  <c r="N134" i="24" s="1"/>
  <c r="G27" i="25"/>
  <c r="F27" i="25"/>
  <c r="E27" i="25"/>
  <c r="D27" i="25"/>
  <c r="V26" i="25"/>
  <c r="S133" i="24" s="1"/>
  <c r="N26" i="25"/>
  <c r="N133" i="24" s="1"/>
  <c r="G26" i="25"/>
  <c r="F26" i="25"/>
  <c r="E26" i="25"/>
  <c r="D26" i="25"/>
  <c r="V25" i="25"/>
  <c r="S132" i="24" s="1"/>
  <c r="N25" i="25"/>
  <c r="N132" i="24" s="1"/>
  <c r="G25" i="25"/>
  <c r="F25" i="25"/>
  <c r="E25" i="25"/>
  <c r="D25" i="25"/>
  <c r="V24" i="25"/>
  <c r="S131" i="24" s="1"/>
  <c r="N24" i="25"/>
  <c r="N131" i="24" s="1"/>
  <c r="G24" i="25"/>
  <c r="F24" i="25"/>
  <c r="E24" i="25"/>
  <c r="D24" i="25"/>
  <c r="V23" i="25"/>
  <c r="S130" i="24" s="1"/>
  <c r="N23" i="25"/>
  <c r="N130" i="24" s="1"/>
  <c r="G23" i="25"/>
  <c r="F23" i="25"/>
  <c r="E23" i="25"/>
  <c r="D23" i="25"/>
  <c r="H59" i="28"/>
  <c r="I59" i="28"/>
  <c r="J59" i="28"/>
  <c r="K59" i="28"/>
  <c r="H60" i="28"/>
  <c r="I60" i="28"/>
  <c r="J60" i="28"/>
  <c r="K60" i="28"/>
  <c r="H61" i="28"/>
  <c r="I61" i="28"/>
  <c r="J61" i="28"/>
  <c r="K61" i="28"/>
  <c r="H62" i="28"/>
  <c r="I62" i="28"/>
  <c r="J62" i="28"/>
  <c r="K62" i="28"/>
  <c r="H63" i="28"/>
  <c r="I63" i="28"/>
  <c r="J63" i="28"/>
  <c r="K63" i="28"/>
  <c r="H53" i="28"/>
  <c r="I53" i="28"/>
  <c r="J53" i="28"/>
  <c r="K53" i="28"/>
  <c r="H54" i="28"/>
  <c r="I54" i="28"/>
  <c r="J54" i="28"/>
  <c r="K54" i="28"/>
  <c r="H55" i="28"/>
  <c r="I55" i="28"/>
  <c r="J55" i="28"/>
  <c r="K55" i="28"/>
  <c r="H56" i="28"/>
  <c r="I56" i="28"/>
  <c r="J56" i="28"/>
  <c r="K56" i="28"/>
  <c r="H57" i="28"/>
  <c r="I57" i="28"/>
  <c r="J57" i="28"/>
  <c r="K57" i="28"/>
  <c r="H58" i="28"/>
  <c r="I58" i="28"/>
  <c r="J58" i="28"/>
  <c r="K58" i="28"/>
  <c r="D22" i="25"/>
  <c r="V22" i="25"/>
  <c r="S129" i="24" s="1"/>
  <c r="N22" i="25"/>
  <c r="N129" i="24" s="1"/>
  <c r="G22" i="25"/>
  <c r="F22" i="25"/>
  <c r="E22" i="25"/>
  <c r="V21" i="25"/>
  <c r="S128" i="24" s="1"/>
  <c r="N21" i="25"/>
  <c r="N128" i="24" s="1"/>
  <c r="G21" i="25"/>
  <c r="F21" i="25"/>
  <c r="E21" i="25"/>
  <c r="D21" i="25"/>
  <c r="K52" i="28"/>
  <c r="J52" i="28"/>
  <c r="I52" i="28"/>
  <c r="H52" i="28"/>
  <c r="K51" i="28"/>
  <c r="J51" i="28"/>
  <c r="I51" i="28"/>
  <c r="H51" i="28"/>
  <c r="K50" i="28"/>
  <c r="J50" i="28"/>
  <c r="I50" i="28"/>
  <c r="H50" i="28"/>
  <c r="V20" i="25"/>
  <c r="S127" i="24" s="1"/>
  <c r="N20" i="25"/>
  <c r="N127" i="24" s="1"/>
  <c r="G20" i="25"/>
  <c r="F20" i="25"/>
  <c r="E20" i="25"/>
  <c r="D20" i="25"/>
  <c r="V19" i="25"/>
  <c r="S126" i="24" s="1"/>
  <c r="N19" i="25"/>
  <c r="N126" i="24" s="1"/>
  <c r="G19" i="25"/>
  <c r="F19" i="25"/>
  <c r="E19" i="25"/>
  <c r="D19" i="25"/>
  <c r="V18" i="25"/>
  <c r="V17" i="25"/>
  <c r="N18" i="25"/>
  <c r="N17" i="25"/>
  <c r="M32" i="25" l="1"/>
  <c r="O32" i="25" s="1"/>
  <c r="U32" i="25"/>
  <c r="W32" i="25" s="1"/>
  <c r="I31" i="25"/>
  <c r="L31" i="25"/>
  <c r="I30" i="25"/>
  <c r="J31" i="25"/>
  <c r="R31" i="25"/>
  <c r="Q31" i="25"/>
  <c r="S31" i="25"/>
  <c r="T31" i="25"/>
  <c r="K31" i="25"/>
  <c r="L30" i="25"/>
  <c r="J30" i="25"/>
  <c r="S28" i="25"/>
  <c r="T30" i="25"/>
  <c r="R30" i="25"/>
  <c r="Q30" i="25"/>
  <c r="S30" i="25"/>
  <c r="K30" i="25"/>
  <c r="T28" i="25"/>
  <c r="T29" i="25"/>
  <c r="S29" i="25"/>
  <c r="Q28" i="25"/>
  <c r="Q29" i="25"/>
  <c r="I29" i="25"/>
  <c r="J29" i="25"/>
  <c r="L29" i="25"/>
  <c r="K29" i="25"/>
  <c r="R29" i="25"/>
  <c r="I28" i="25"/>
  <c r="J28" i="25"/>
  <c r="K28" i="25"/>
  <c r="L28" i="25"/>
  <c r="R28" i="25"/>
  <c r="T26" i="25"/>
  <c r="Q26" i="25"/>
  <c r="T27" i="25"/>
  <c r="Q27" i="25"/>
  <c r="S27" i="25"/>
  <c r="I27" i="25"/>
  <c r="J27" i="25"/>
  <c r="K27" i="25"/>
  <c r="L27" i="25"/>
  <c r="R27" i="25"/>
  <c r="S26" i="25"/>
  <c r="Q25" i="25"/>
  <c r="I26" i="25"/>
  <c r="J26" i="25"/>
  <c r="K26" i="25"/>
  <c r="L26" i="25"/>
  <c r="R26" i="25"/>
  <c r="T25" i="25"/>
  <c r="S25" i="25"/>
  <c r="J25" i="25"/>
  <c r="K25" i="25"/>
  <c r="L25" i="25"/>
  <c r="I25" i="25"/>
  <c r="R25" i="25"/>
  <c r="Q24" i="25"/>
  <c r="S24" i="25"/>
  <c r="T24" i="25"/>
  <c r="J24" i="25"/>
  <c r="K24" i="25"/>
  <c r="I24" i="25"/>
  <c r="L24" i="25"/>
  <c r="R24" i="25"/>
  <c r="I23" i="25"/>
  <c r="S23" i="25"/>
  <c r="T23" i="25"/>
  <c r="K23" i="25"/>
  <c r="J23" i="25"/>
  <c r="Q23" i="25"/>
  <c r="R23" i="25"/>
  <c r="L23" i="25"/>
  <c r="T21" i="25"/>
  <c r="T22" i="25"/>
  <c r="I22" i="25"/>
  <c r="S22" i="25"/>
  <c r="L22" i="25"/>
  <c r="Q22" i="25"/>
  <c r="J22" i="25"/>
  <c r="K22" i="25"/>
  <c r="R22" i="25"/>
  <c r="L20" i="25"/>
  <c r="Q21" i="25"/>
  <c r="S21" i="25"/>
  <c r="I21" i="25"/>
  <c r="J21" i="25"/>
  <c r="K21" i="25"/>
  <c r="L21" i="25"/>
  <c r="R21" i="25"/>
  <c r="K20" i="25"/>
  <c r="I20" i="25"/>
  <c r="J20" i="25"/>
  <c r="S20" i="25"/>
  <c r="T20" i="25"/>
  <c r="Q20" i="25"/>
  <c r="R20" i="25"/>
  <c r="I19" i="25"/>
  <c r="L19" i="25"/>
  <c r="S19" i="25"/>
  <c r="K19" i="25"/>
  <c r="T19" i="25"/>
  <c r="Q19" i="25"/>
  <c r="R19" i="25"/>
  <c r="J19" i="25"/>
  <c r="S125" i="24"/>
  <c r="N125" i="24"/>
  <c r="G18" i="25"/>
  <c r="F18" i="25"/>
  <c r="E18" i="25"/>
  <c r="D18" i="25"/>
  <c r="K49" i="28"/>
  <c r="J49" i="28"/>
  <c r="I49" i="28"/>
  <c r="H49" i="28"/>
  <c r="K48" i="28"/>
  <c r="J48" i="28"/>
  <c r="I48" i="28"/>
  <c r="H48" i="28"/>
  <c r="K47" i="28"/>
  <c r="J47" i="28"/>
  <c r="I47" i="28"/>
  <c r="H47" i="28"/>
  <c r="K46" i="28"/>
  <c r="J46" i="28"/>
  <c r="I46" i="28"/>
  <c r="H46" i="28"/>
  <c r="S124" i="24"/>
  <c r="N124" i="24"/>
  <c r="G17" i="25"/>
  <c r="F17" i="25"/>
  <c r="E17" i="25"/>
  <c r="D17" i="25"/>
  <c r="S123" i="24"/>
  <c r="N123" i="24"/>
  <c r="G16" i="25"/>
  <c r="F16" i="25"/>
  <c r="E16" i="25"/>
  <c r="D16" i="25"/>
  <c r="N15" i="25"/>
  <c r="N122" i="24" s="1"/>
  <c r="E15" i="25"/>
  <c r="V15" i="25"/>
  <c r="S122" i="24" s="1"/>
  <c r="G15" i="25"/>
  <c r="F15" i="25"/>
  <c r="D15" i="25"/>
  <c r="H43" i="28"/>
  <c r="I43" i="28"/>
  <c r="J43" i="28"/>
  <c r="K43" i="28"/>
  <c r="H44" i="28"/>
  <c r="I44" i="28"/>
  <c r="J44" i="28"/>
  <c r="K44" i="28"/>
  <c r="H45" i="28"/>
  <c r="I45" i="28"/>
  <c r="J45" i="28"/>
  <c r="K45" i="28"/>
  <c r="O139" i="24" l="1"/>
  <c r="P139" i="24" s="1"/>
  <c r="T139" i="24"/>
  <c r="U139" i="24" s="1"/>
  <c r="U31" i="25"/>
  <c r="W31" i="25" s="1"/>
  <c r="M31" i="25"/>
  <c r="O31" i="25" s="1"/>
  <c r="M30" i="25"/>
  <c r="O137" i="24" s="1"/>
  <c r="P137" i="24" s="1"/>
  <c r="U30" i="25"/>
  <c r="U28" i="25"/>
  <c r="W28" i="25" s="1"/>
  <c r="U29" i="25"/>
  <c r="W29" i="25" s="1"/>
  <c r="M29" i="25"/>
  <c r="M28" i="25"/>
  <c r="U27" i="25"/>
  <c r="W27" i="25" s="1"/>
  <c r="M27" i="25"/>
  <c r="U26" i="25"/>
  <c r="W26" i="25" s="1"/>
  <c r="M26" i="25"/>
  <c r="U25" i="25"/>
  <c r="W25" i="25" s="1"/>
  <c r="M25" i="25"/>
  <c r="M24" i="25"/>
  <c r="O24" i="25" s="1"/>
  <c r="U24" i="25"/>
  <c r="W24" i="25" s="1"/>
  <c r="U23" i="25"/>
  <c r="T130" i="24" s="1"/>
  <c r="U130" i="24" s="1"/>
  <c r="M23" i="25"/>
  <c r="O130" i="24" s="1"/>
  <c r="P130" i="24" s="1"/>
  <c r="M22" i="25"/>
  <c r="U22" i="25"/>
  <c r="U21" i="25"/>
  <c r="W21" i="25" s="1"/>
  <c r="M21" i="25"/>
  <c r="M20" i="25"/>
  <c r="O20" i="25" s="1"/>
  <c r="U20" i="25"/>
  <c r="M19" i="25"/>
  <c r="U19" i="25"/>
  <c r="S18" i="25"/>
  <c r="Q18" i="25"/>
  <c r="T18" i="25"/>
  <c r="L18" i="25"/>
  <c r="R18" i="25"/>
  <c r="I18" i="25"/>
  <c r="J18" i="25"/>
  <c r="K18" i="25"/>
  <c r="S17" i="25"/>
  <c r="T15" i="25"/>
  <c r="T16" i="25"/>
  <c r="Q17" i="25"/>
  <c r="T17" i="25"/>
  <c r="I16" i="25"/>
  <c r="I17" i="25"/>
  <c r="J17" i="25"/>
  <c r="K17" i="25"/>
  <c r="L17" i="25"/>
  <c r="R17" i="25"/>
  <c r="K15" i="25"/>
  <c r="S16" i="25"/>
  <c r="L16" i="25"/>
  <c r="K16" i="25"/>
  <c r="Q16" i="25"/>
  <c r="R16" i="25"/>
  <c r="J16" i="25"/>
  <c r="I15" i="25"/>
  <c r="L15" i="25"/>
  <c r="Q15" i="25"/>
  <c r="R15" i="25"/>
  <c r="S15" i="25"/>
  <c r="J15" i="25"/>
  <c r="V14" i="25"/>
  <c r="S121" i="24" s="1"/>
  <c r="N14" i="25"/>
  <c r="N121" i="24" s="1"/>
  <c r="G14" i="25"/>
  <c r="F14" i="25"/>
  <c r="E14" i="25"/>
  <c r="D14" i="25"/>
  <c r="D13" i="25"/>
  <c r="V13" i="25"/>
  <c r="S120" i="24" s="1"/>
  <c r="N13" i="25"/>
  <c r="N120" i="24" s="1"/>
  <c r="G13" i="25"/>
  <c r="F13" i="25"/>
  <c r="E13" i="25"/>
  <c r="E11" i="25"/>
  <c r="F12" i="25"/>
  <c r="E12" i="25"/>
  <c r="D12" i="25"/>
  <c r="G12" i="25"/>
  <c r="N12" i="25"/>
  <c r="N119" i="24" s="1"/>
  <c r="V12" i="25"/>
  <c r="S119" i="24" s="1"/>
  <c r="K42" i="28"/>
  <c r="J42" i="28"/>
  <c r="I42" i="28"/>
  <c r="H42" i="28"/>
  <c r="I11" i="25"/>
  <c r="N10" i="25"/>
  <c r="T138" i="24" l="1"/>
  <c r="U138" i="24" s="1"/>
  <c r="O138" i="24"/>
  <c r="P138" i="24" s="1"/>
  <c r="O30" i="25"/>
  <c r="T137" i="24"/>
  <c r="U137" i="24" s="1"/>
  <c r="W30" i="25"/>
  <c r="T135" i="24"/>
  <c r="U135" i="24" s="1"/>
  <c r="T136" i="24"/>
  <c r="U136" i="24" s="1"/>
  <c r="O29" i="25"/>
  <c r="O136" i="24"/>
  <c r="P136" i="24" s="1"/>
  <c r="O28" i="25"/>
  <c r="O135" i="24"/>
  <c r="P135" i="24" s="1"/>
  <c r="T134" i="24"/>
  <c r="U134" i="24" s="1"/>
  <c r="O27" i="25"/>
  <c r="O134" i="24"/>
  <c r="P134" i="24" s="1"/>
  <c r="T133" i="24"/>
  <c r="U133" i="24" s="1"/>
  <c r="O133" i="24"/>
  <c r="P133" i="24" s="1"/>
  <c r="O26" i="25"/>
  <c r="T132" i="24"/>
  <c r="U132" i="24" s="1"/>
  <c r="O25" i="25"/>
  <c r="O132" i="24"/>
  <c r="P132" i="24" s="1"/>
  <c r="O131" i="24"/>
  <c r="P131" i="24" s="1"/>
  <c r="T131" i="24"/>
  <c r="U131" i="24" s="1"/>
  <c r="W23" i="25"/>
  <c r="O23" i="25"/>
  <c r="W22" i="25"/>
  <c r="T129" i="24"/>
  <c r="U129" i="24" s="1"/>
  <c r="O22" i="25"/>
  <c r="O129" i="24"/>
  <c r="P129" i="24" s="1"/>
  <c r="T128" i="24"/>
  <c r="U128" i="24" s="1"/>
  <c r="O21" i="25"/>
  <c r="O128" i="24"/>
  <c r="P128" i="24" s="1"/>
  <c r="W20" i="25"/>
  <c r="T127" i="24"/>
  <c r="U127" i="24" s="1"/>
  <c r="O127" i="24"/>
  <c r="P127" i="24" s="1"/>
  <c r="W19" i="25"/>
  <c r="T126" i="24"/>
  <c r="U126" i="24" s="1"/>
  <c r="O19" i="25"/>
  <c r="O126" i="24"/>
  <c r="P126" i="24" s="1"/>
  <c r="U18" i="25"/>
  <c r="W18" i="25" s="1"/>
  <c r="M18" i="25"/>
  <c r="U17" i="25"/>
  <c r="W17" i="25" s="1"/>
  <c r="M17" i="25"/>
  <c r="M15" i="25"/>
  <c r="O15" i="25" s="1"/>
  <c r="M16" i="25"/>
  <c r="O123" i="24" s="1"/>
  <c r="P123" i="24" s="1"/>
  <c r="U16" i="25"/>
  <c r="U15" i="25"/>
  <c r="L13" i="25"/>
  <c r="T14" i="25"/>
  <c r="I14" i="25"/>
  <c r="J14" i="25"/>
  <c r="Q13" i="25"/>
  <c r="J13" i="25"/>
  <c r="L14" i="25"/>
  <c r="K14" i="25"/>
  <c r="Q14" i="25"/>
  <c r="R14" i="25"/>
  <c r="S14" i="25"/>
  <c r="R13" i="25"/>
  <c r="I13" i="25"/>
  <c r="S13" i="25"/>
  <c r="K13" i="25"/>
  <c r="T13" i="25"/>
  <c r="R12" i="25"/>
  <c r="Q12" i="25"/>
  <c r="T12" i="25"/>
  <c r="I12" i="25"/>
  <c r="L12" i="25"/>
  <c r="K12" i="25"/>
  <c r="S12" i="25"/>
  <c r="J12" i="25"/>
  <c r="J118" i="24"/>
  <c r="D11" i="25"/>
  <c r="K41" i="28"/>
  <c r="J41" i="28"/>
  <c r="I41" i="28"/>
  <c r="H41" i="28"/>
  <c r="K40" i="28"/>
  <c r="J40" i="28"/>
  <c r="I40" i="28"/>
  <c r="H40" i="28"/>
  <c r="G11" i="25"/>
  <c r="F11" i="25"/>
  <c r="AF10" i="26"/>
  <c r="D5" i="25"/>
  <c r="E5" i="25"/>
  <c r="F5" i="25"/>
  <c r="G5" i="25"/>
  <c r="N5" i="25"/>
  <c r="V5" i="25"/>
  <c r="D6" i="25"/>
  <c r="E6" i="25"/>
  <c r="F6" i="25"/>
  <c r="G6" i="25"/>
  <c r="N6" i="25"/>
  <c r="D7" i="25"/>
  <c r="E7" i="25"/>
  <c r="F7" i="25"/>
  <c r="G7" i="25"/>
  <c r="N7" i="25"/>
  <c r="D8" i="25"/>
  <c r="E8" i="25"/>
  <c r="F8" i="25"/>
  <c r="G8" i="25"/>
  <c r="N8" i="25"/>
  <c r="D9" i="25"/>
  <c r="E9" i="25"/>
  <c r="F9" i="25"/>
  <c r="G9" i="25"/>
  <c r="N9" i="25"/>
  <c r="D10" i="25"/>
  <c r="E10" i="25"/>
  <c r="F10" i="25"/>
  <c r="G10" i="25"/>
  <c r="N117" i="24"/>
  <c r="T125" i="24" l="1"/>
  <c r="U125" i="24" s="1"/>
  <c r="O18" i="25"/>
  <c r="O125" i="24"/>
  <c r="P125" i="24" s="1"/>
  <c r="T124" i="24"/>
  <c r="U124" i="24" s="1"/>
  <c r="O17" i="25"/>
  <c r="O124" i="24"/>
  <c r="P124" i="24" s="1"/>
  <c r="O122" i="24"/>
  <c r="P122" i="24" s="1"/>
  <c r="O16" i="25"/>
  <c r="W16" i="25"/>
  <c r="T123" i="24"/>
  <c r="U123" i="24" s="1"/>
  <c r="W15" i="25"/>
  <c r="T122" i="24"/>
  <c r="U122" i="24" s="1"/>
  <c r="M14" i="25"/>
  <c r="O14" i="25" s="1"/>
  <c r="U14" i="25"/>
  <c r="U13" i="25"/>
  <c r="W13" i="25" s="1"/>
  <c r="M13" i="25"/>
  <c r="U12" i="25"/>
  <c r="W12" i="25" s="1"/>
  <c r="M12" i="25"/>
  <c r="I10" i="25"/>
  <c r="L11" i="25"/>
  <c r="K11" i="25"/>
  <c r="Q11" i="25"/>
  <c r="R11" i="25"/>
  <c r="J11" i="25"/>
  <c r="S11" i="25"/>
  <c r="T11" i="25"/>
  <c r="I7" i="25"/>
  <c r="R7" i="25"/>
  <c r="R5" i="25"/>
  <c r="I5" i="25"/>
  <c r="T8" i="25"/>
  <c r="I6" i="25"/>
  <c r="I8" i="25"/>
  <c r="I9" i="25"/>
  <c r="L7" i="25"/>
  <c r="Q8" i="25"/>
  <c r="L6" i="25"/>
  <c r="Q9" i="25"/>
  <c r="K6" i="25"/>
  <c r="R8" i="25"/>
  <c r="J7" i="25"/>
  <c r="R6" i="25"/>
  <c r="Q7" i="25"/>
  <c r="T6" i="25"/>
  <c r="Q6" i="25"/>
  <c r="T5" i="25"/>
  <c r="J6" i="25"/>
  <c r="L9" i="25"/>
  <c r="S6" i="25"/>
  <c r="R9" i="25"/>
  <c r="Q5" i="25"/>
  <c r="AF11" i="26"/>
  <c r="AF12" i="26" s="1"/>
  <c r="V6" i="25"/>
  <c r="L5" i="25"/>
  <c r="T9" i="25"/>
  <c r="K9" i="25"/>
  <c r="K5" i="25"/>
  <c r="S9" i="25"/>
  <c r="J9" i="25"/>
  <c r="L8" i="25"/>
  <c r="S5" i="25"/>
  <c r="J5" i="25"/>
  <c r="K8" i="25"/>
  <c r="S8" i="25"/>
  <c r="J8" i="25"/>
  <c r="T7" i="25"/>
  <c r="K7" i="25"/>
  <c r="S7" i="25"/>
  <c r="H3" i="28"/>
  <c r="J3" i="28"/>
  <c r="K3" i="28"/>
  <c r="I3" i="28"/>
  <c r="O121" i="24" l="1"/>
  <c r="P121" i="24" s="1"/>
  <c r="W14" i="25"/>
  <c r="T121" i="24"/>
  <c r="U121" i="24" s="1"/>
  <c r="T120" i="24"/>
  <c r="U120" i="24" s="1"/>
  <c r="O13" i="25"/>
  <c r="O120" i="24"/>
  <c r="P120" i="24" s="1"/>
  <c r="O12" i="25"/>
  <c r="O119" i="24"/>
  <c r="P119" i="24" s="1"/>
  <c r="T119" i="24"/>
  <c r="U119" i="24" s="1"/>
  <c r="M11" i="25"/>
  <c r="U11" i="25"/>
  <c r="M6" i="25"/>
  <c r="O6" i="25" s="1"/>
  <c r="M7" i="25"/>
  <c r="O7" i="25" s="1"/>
  <c r="U6" i="25"/>
  <c r="W6" i="25" s="1"/>
  <c r="U8" i="25"/>
  <c r="U5" i="25"/>
  <c r="W5" i="25" s="1"/>
  <c r="U7" i="25"/>
  <c r="V7" i="25"/>
  <c r="AF13" i="26"/>
  <c r="V8" i="25"/>
  <c r="M5" i="25"/>
  <c r="O5" i="25" s="1"/>
  <c r="U9" i="25"/>
  <c r="M9" i="25"/>
  <c r="O9" i="25" s="1"/>
  <c r="M8" i="25"/>
  <c r="O8" i="25" s="1"/>
  <c r="Q10" i="25"/>
  <c r="I37" i="28"/>
  <c r="J31" i="28"/>
  <c r="H27" i="28"/>
  <c r="I21" i="28"/>
  <c r="J15" i="28"/>
  <c r="H11" i="28"/>
  <c r="R10" i="25"/>
  <c r="J39" i="28"/>
  <c r="H35" i="28"/>
  <c r="I29" i="28"/>
  <c r="J23" i="28"/>
  <c r="H19" i="28"/>
  <c r="I39" i="28"/>
  <c r="J33" i="28"/>
  <c r="H29" i="28"/>
  <c r="I23" i="28"/>
  <c r="J17" i="28"/>
  <c r="H13" i="28"/>
  <c r="H39" i="28"/>
  <c r="I33" i="28"/>
  <c r="J27" i="28"/>
  <c r="H23" i="28"/>
  <c r="I17" i="28"/>
  <c r="J11" i="28"/>
  <c r="J37" i="28"/>
  <c r="H33" i="28"/>
  <c r="I27" i="28"/>
  <c r="J21" i="28"/>
  <c r="H17" i="28"/>
  <c r="I11" i="28"/>
  <c r="H37" i="28"/>
  <c r="I31" i="28"/>
  <c r="J25" i="28"/>
  <c r="H21" i="28"/>
  <c r="I15" i="28"/>
  <c r="J9" i="28"/>
  <c r="J10" i="25"/>
  <c r="J35" i="28"/>
  <c r="H31" i="28"/>
  <c r="I25" i="28"/>
  <c r="J19" i="28"/>
  <c r="H15" i="28"/>
  <c r="I9" i="28"/>
  <c r="S10" i="25"/>
  <c r="I35" i="28"/>
  <c r="J29" i="28"/>
  <c r="H25" i="28"/>
  <c r="I19" i="28"/>
  <c r="J13" i="28"/>
  <c r="H9" i="28"/>
  <c r="K10" i="25"/>
  <c r="L10" i="25"/>
  <c r="T10" i="25"/>
  <c r="I13" i="28"/>
  <c r="K39" i="28"/>
  <c r="K37" i="28"/>
  <c r="K35" i="28"/>
  <c r="K33" i="28"/>
  <c r="K31" i="28"/>
  <c r="K29" i="28"/>
  <c r="K27" i="28"/>
  <c r="K25" i="28"/>
  <c r="K23" i="28"/>
  <c r="K21" i="28"/>
  <c r="K19" i="28"/>
  <c r="K17" i="28"/>
  <c r="K15" i="28"/>
  <c r="K13" i="28"/>
  <c r="K11" i="28"/>
  <c r="K9" i="28"/>
  <c r="K6" i="28"/>
  <c r="K4" i="28"/>
  <c r="J6" i="28"/>
  <c r="J4" i="28"/>
  <c r="I6" i="28"/>
  <c r="I4" i="28"/>
  <c r="H6" i="28"/>
  <c r="H4" i="28"/>
  <c r="K38" i="28"/>
  <c r="K36" i="28"/>
  <c r="K34" i="28"/>
  <c r="K32" i="28"/>
  <c r="K30" i="28"/>
  <c r="K28" i="28"/>
  <c r="K26" i="28"/>
  <c r="K24" i="28"/>
  <c r="K22" i="28"/>
  <c r="K20" i="28"/>
  <c r="K18" i="28"/>
  <c r="K16" i="28"/>
  <c r="K14" i="28"/>
  <c r="K12" i="28"/>
  <c r="K10" i="28"/>
  <c r="K8" i="28"/>
  <c r="K7" i="28"/>
  <c r="K5" i="28"/>
  <c r="J38" i="28"/>
  <c r="J36" i="28"/>
  <c r="J34" i="28"/>
  <c r="J32" i="28"/>
  <c r="J30" i="28"/>
  <c r="J28" i="28"/>
  <c r="J26" i="28"/>
  <c r="J24" i="28"/>
  <c r="J22" i="28"/>
  <c r="J20" i="28"/>
  <c r="J18" i="28"/>
  <c r="J16" i="28"/>
  <c r="J14" i="28"/>
  <c r="J12" i="28"/>
  <c r="J10" i="28"/>
  <c r="J8" i="28"/>
  <c r="J7" i="28"/>
  <c r="J5" i="28"/>
  <c r="I38" i="28"/>
  <c r="I36" i="28"/>
  <c r="I34" i="28"/>
  <c r="I32" i="28"/>
  <c r="I30" i="28"/>
  <c r="I28" i="28"/>
  <c r="I26" i="28"/>
  <c r="I24" i="28"/>
  <c r="I22" i="28"/>
  <c r="I20" i="28"/>
  <c r="I18" i="28"/>
  <c r="I16" i="28"/>
  <c r="I14" i="28"/>
  <c r="I12" i="28"/>
  <c r="I10" i="28"/>
  <c r="I8" i="28"/>
  <c r="I7" i="28"/>
  <c r="I5" i="28"/>
  <c r="H38" i="28"/>
  <c r="H36" i="28"/>
  <c r="H34" i="28"/>
  <c r="H32" i="28"/>
  <c r="H30" i="28"/>
  <c r="H28" i="28"/>
  <c r="H26" i="28"/>
  <c r="H24" i="28"/>
  <c r="H22" i="28"/>
  <c r="H20" i="28"/>
  <c r="H18" i="28"/>
  <c r="H16" i="28"/>
  <c r="H14" i="28"/>
  <c r="H12" i="28"/>
  <c r="H10" i="28"/>
  <c r="H8" i="28"/>
  <c r="H7" i="28"/>
  <c r="H5" i="28"/>
  <c r="T118" i="24" l="1"/>
  <c r="O118" i="24"/>
  <c r="W7" i="25"/>
  <c r="W8" i="25"/>
  <c r="V10" i="25"/>
  <c r="S117" i="24" s="1"/>
  <c r="V9" i="25"/>
  <c r="W9" i="25" s="1"/>
  <c r="U10" i="25"/>
  <c r="M10" i="25"/>
  <c r="W10" i="25" l="1"/>
  <c r="O10" i="25"/>
  <c r="O117" i="24"/>
  <c r="P117" i="24" s="1"/>
  <c r="T117" i="24"/>
  <c r="J6" i="24"/>
  <c r="J7" i="24" s="1"/>
  <c r="J8" i="24" s="1"/>
  <c r="J9" i="24" s="1"/>
  <c r="J10" i="24" s="1"/>
  <c r="J11" i="24" s="1"/>
  <c r="J12" i="24" s="1"/>
  <c r="J13" i="24" s="1"/>
  <c r="J14" i="24" s="1"/>
  <c r="J15" i="24" s="1"/>
  <c r="J16" i="24" s="1"/>
  <c r="J17" i="24" s="1"/>
  <c r="J18" i="24" s="1"/>
  <c r="J19" i="24" s="1"/>
  <c r="J20" i="24" s="1"/>
  <c r="J21" i="24" s="1"/>
  <c r="J22" i="24" s="1"/>
  <c r="J23" i="24" s="1"/>
  <c r="J24" i="24" s="1"/>
  <c r="J25" i="24" s="1"/>
  <c r="J26" i="24" s="1"/>
  <c r="J27" i="24" s="1"/>
  <c r="J28" i="24" s="1"/>
  <c r="J29" i="24" s="1"/>
  <c r="J30" i="24" s="1"/>
  <c r="J31" i="24" s="1"/>
  <c r="J32" i="24" s="1"/>
  <c r="J33" i="24" s="1"/>
  <c r="J34" i="24" s="1"/>
  <c r="J35" i="24" s="1"/>
  <c r="J36" i="24" s="1"/>
  <c r="J37" i="24" s="1"/>
  <c r="J38" i="24" s="1"/>
  <c r="J39" i="24" s="1"/>
  <c r="J40" i="24" s="1"/>
  <c r="J41" i="24" s="1"/>
  <c r="J42" i="24" s="1"/>
  <c r="J43" i="24" s="1"/>
  <c r="J44" i="24" s="1"/>
  <c r="J45" i="24" s="1"/>
  <c r="J46" i="24" s="1"/>
  <c r="J47" i="24" s="1"/>
  <c r="J48" i="24" s="1"/>
  <c r="J49" i="24" s="1"/>
  <c r="J50" i="24" s="1"/>
  <c r="J51" i="24" s="1"/>
  <c r="J52" i="24" s="1"/>
  <c r="J53" i="24" s="1"/>
  <c r="J54" i="24" s="1"/>
  <c r="J55" i="24" s="1"/>
  <c r="J56" i="24" s="1"/>
  <c r="J57" i="24" s="1"/>
  <c r="J58" i="24" s="1"/>
  <c r="J59" i="24" s="1"/>
  <c r="J60" i="24" s="1"/>
  <c r="J61" i="24" s="1"/>
  <c r="J62" i="24" s="1"/>
  <c r="J63" i="24" s="1"/>
  <c r="J64" i="24" s="1"/>
  <c r="J65" i="24" s="1"/>
  <c r="J66" i="24" s="1"/>
  <c r="J67" i="24" s="1"/>
  <c r="J68" i="24" s="1"/>
  <c r="J69" i="24" s="1"/>
  <c r="J70" i="24" s="1"/>
  <c r="J71" i="24" s="1"/>
  <c r="J72" i="24" s="1"/>
  <c r="J73" i="24" s="1"/>
  <c r="J74" i="24" s="1"/>
  <c r="J75" i="24" s="1"/>
  <c r="J76" i="24" s="1"/>
  <c r="J77" i="24" s="1"/>
  <c r="J78" i="24" s="1"/>
  <c r="J79" i="24" s="1"/>
  <c r="J80" i="24" s="1"/>
  <c r="J81" i="24" s="1"/>
  <c r="J82" i="24" s="1"/>
  <c r="J83" i="24" s="1"/>
  <c r="J84" i="24" s="1"/>
  <c r="J85" i="24" s="1"/>
  <c r="J86" i="24" s="1"/>
  <c r="J87" i="24" s="1"/>
  <c r="J88" i="24" s="1"/>
  <c r="J89" i="24" s="1"/>
  <c r="J90" i="24" s="1"/>
  <c r="J91" i="24" s="1"/>
  <c r="J92" i="24" s="1"/>
  <c r="J93" i="24" s="1"/>
  <c r="J94" i="24" s="1"/>
  <c r="J95" i="24" s="1"/>
  <c r="J96" i="24" s="1"/>
  <c r="J97" i="24" s="1"/>
  <c r="J98" i="24" s="1"/>
  <c r="J99" i="24" s="1"/>
  <c r="J100" i="24" s="1"/>
  <c r="J101" i="24" s="1"/>
  <c r="J102" i="24" s="1"/>
  <c r="J103" i="24" s="1"/>
  <c r="J104" i="24" s="1"/>
  <c r="J105" i="24" s="1"/>
  <c r="J106" i="24" s="1"/>
  <c r="J107" i="24" s="1"/>
  <c r="J108" i="24" s="1"/>
  <c r="J109" i="24" s="1"/>
  <c r="J110" i="24" s="1"/>
  <c r="J111" i="24" s="1"/>
  <c r="J112" i="24" s="1"/>
  <c r="J113" i="24" s="1"/>
  <c r="J114" i="24" s="1"/>
  <c r="J115" i="24" s="1"/>
  <c r="J116" i="24" s="1"/>
  <c r="B6" i="24"/>
  <c r="B7" i="24" s="1"/>
  <c r="B8" i="24" s="1"/>
  <c r="B9" i="24" s="1"/>
  <c r="B10" i="24" s="1"/>
  <c r="B11" i="24" s="1"/>
  <c r="B12" i="24" s="1"/>
  <c r="B13" i="24" s="1"/>
  <c r="B14" i="24" s="1"/>
  <c r="B15" i="24" s="1"/>
  <c r="B16" i="24" s="1"/>
  <c r="B17" i="24" s="1"/>
  <c r="B18" i="24" s="1"/>
  <c r="B19" i="24" s="1"/>
  <c r="B20" i="24" s="1"/>
  <c r="B21" i="24" s="1"/>
  <c r="B22" i="24" s="1"/>
  <c r="B23" i="24" s="1"/>
  <c r="B24" i="24" s="1"/>
  <c r="B25" i="24" s="1"/>
  <c r="B26" i="24" s="1"/>
  <c r="B27" i="24" s="1"/>
  <c r="B28" i="24" s="1"/>
  <c r="B29" i="24" s="1"/>
  <c r="B30" i="24" s="1"/>
  <c r="B31" i="24" s="1"/>
  <c r="B32" i="24" s="1"/>
  <c r="B33" i="24" s="1"/>
  <c r="B34" i="24" s="1"/>
  <c r="B35" i="24" s="1"/>
  <c r="B36" i="24" s="1"/>
  <c r="B37" i="24" s="1"/>
  <c r="B38" i="24" s="1"/>
  <c r="B39" i="24" s="1"/>
  <c r="B40" i="24" s="1"/>
  <c r="B41" i="24" s="1"/>
  <c r="B42" i="24" s="1"/>
  <c r="B43" i="24" s="1"/>
  <c r="B44" i="24" s="1"/>
  <c r="B45" i="24" s="1"/>
  <c r="B46" i="24" s="1"/>
  <c r="B47" i="24" s="1"/>
  <c r="B48" i="24" s="1"/>
  <c r="B49" i="24" s="1"/>
  <c r="B50" i="24" s="1"/>
  <c r="B51" i="24" s="1"/>
  <c r="B52" i="24" s="1"/>
  <c r="B53" i="24" s="1"/>
  <c r="B54" i="24" s="1"/>
  <c r="B55" i="24" s="1"/>
  <c r="B56" i="24" s="1"/>
  <c r="B57" i="24" s="1"/>
  <c r="B58" i="24" s="1"/>
  <c r="B59" i="24" s="1"/>
  <c r="B60" i="24" s="1"/>
  <c r="B61" i="24" s="1"/>
  <c r="B62" i="24" s="1"/>
  <c r="B63" i="24" s="1"/>
  <c r="B64" i="24" s="1"/>
  <c r="B65" i="24" s="1"/>
  <c r="B66" i="24" s="1"/>
  <c r="B67" i="24" s="1"/>
  <c r="B68" i="24" s="1"/>
  <c r="B69" i="24" s="1"/>
  <c r="B70" i="24" s="1"/>
  <c r="B71" i="24" s="1"/>
  <c r="B72" i="24" s="1"/>
  <c r="B73" i="24" s="1"/>
  <c r="B74" i="24" s="1"/>
  <c r="B75" i="24" s="1"/>
  <c r="B76" i="24" s="1"/>
  <c r="B77" i="24" s="1"/>
  <c r="B78" i="24" s="1"/>
  <c r="B79" i="24" s="1"/>
  <c r="B80" i="24" s="1"/>
  <c r="B81" i="24" s="1"/>
  <c r="B82" i="24" s="1"/>
  <c r="B83" i="24" s="1"/>
  <c r="B84" i="24" s="1"/>
  <c r="B85" i="24" s="1"/>
  <c r="B86" i="24" s="1"/>
  <c r="B87" i="24" s="1"/>
  <c r="N11" i="25" l="1"/>
  <c r="O11" i="25" s="1"/>
  <c r="U117" i="24"/>
  <c r="V11" i="25"/>
  <c r="W11" i="25" s="1"/>
  <c r="N118" i="24" l="1"/>
  <c r="P118" i="24" s="1"/>
  <c r="S118" i="24"/>
  <c r="U118" i="24" s="1"/>
</calcChain>
</file>

<file path=xl/sharedStrings.xml><?xml version="1.0" encoding="utf-8"?>
<sst xmlns="http://schemas.openxmlformats.org/spreadsheetml/2006/main" count="1184" uniqueCount="148">
  <si>
    <t>IPC</t>
  </si>
  <si>
    <t>Web</t>
  </si>
  <si>
    <t>Observación</t>
  </si>
  <si>
    <t>www.ine.cl</t>
  </si>
  <si>
    <t>PPI</t>
  </si>
  <si>
    <t>www.bls.gov</t>
  </si>
  <si>
    <t>DOL</t>
  </si>
  <si>
    <t>www.bcentral.cl</t>
  </si>
  <si>
    <t>Índices de precios al consumidor publicado por el INE para el segundo mes anterior al cual se aplique la indexación.</t>
  </si>
  <si>
    <t>PPIturb</t>
  </si>
  <si>
    <t>Barra</t>
  </si>
  <si>
    <t>Pbo</t>
  </si>
  <si>
    <t>SING</t>
  </si>
  <si>
    <t>Lagunas</t>
  </si>
  <si>
    <t>Diego de Almagro</t>
  </si>
  <si>
    <t>Polpaico</t>
  </si>
  <si>
    <t>Variación</t>
  </si>
  <si>
    <t>DOLi/DOLo</t>
  </si>
  <si>
    <t>PPIturbi/PPIturbo</t>
  </si>
  <si>
    <t>PPIi/PPIo</t>
  </si>
  <si>
    <t>IPCi/IPCo</t>
  </si>
  <si>
    <t>Índice</t>
  </si>
  <si>
    <t>Mes</t>
  </si>
  <si>
    <t>(*) Definición de parámetros de indexación conforme a lo establecido en los puntos de los siguientes decretos:</t>
  </si>
  <si>
    <t>Fijación</t>
  </si>
  <si>
    <t>Decreto 107/2012</t>
  </si>
  <si>
    <t>Decreto 4T/2013</t>
  </si>
  <si>
    <t>Decreto 9T/2013</t>
  </si>
  <si>
    <t>Tensión [kV]</t>
  </si>
  <si>
    <t>Precio Potencia de Fijación [$/kW/mes]</t>
  </si>
  <si>
    <t>Pbi [$/kW/mes]</t>
  </si>
  <si>
    <t>Resolución Exenta N°68/2014 y N°110/2014</t>
  </si>
  <si>
    <t>Decreto 1T/2014</t>
  </si>
  <si>
    <t>Resolución Exenta N°462/2014</t>
  </si>
  <si>
    <t>Decreto 10T/2014</t>
  </si>
  <si>
    <t>1.2 "Fórmulas de indexación" del Artículo Primero del Decreto N° 107/2012 del Ministerio de Energía</t>
  </si>
  <si>
    <t>1.2 "Fórmulas de indexación" del Artículo Primero del Decreto N° 4T/2013 del Ministerio de Energía</t>
  </si>
  <si>
    <t>1.2 "Fórmulas de indexación" del Artículo Primero del Decreto N° 9T/2013 del Ministerio de Energía</t>
  </si>
  <si>
    <t>1.2 "Fórmulas de indexación" del Artículo Primero del Decreto N° 1T/2014 del Ministerio de Energía</t>
  </si>
  <si>
    <t>1.2 "Fórmulas de indexación" del Artículo Primero del Decreto N° 10T/2014 del Ministerio de Energía</t>
  </si>
  <si>
    <t>1.2 "Fórmulas de indexación" del Artículo Primero del Decreto N° 14T/2015 del Ministerio de Energía</t>
  </si>
  <si>
    <t>Decreto 14T/2015</t>
  </si>
  <si>
    <t>1.2 "Fórmulas de indexación" del Artículo Primero del Decreto N° 17T/2015 del Ministerio de Energía</t>
  </si>
  <si>
    <t>Decreto 17T/2015</t>
  </si>
  <si>
    <t>Decreto 17T/2016</t>
  </si>
  <si>
    <t>Decreto 5T/2016</t>
  </si>
  <si>
    <t>1.2 "Fórmulas de indexación" del Artículo Primero del Decreto N° 5T/2016 del Ministerio de Energía</t>
  </si>
  <si>
    <t>1.2 "Fórmulas de indexación" del Artículo Primero del Decreto N° 2T/2017 del Ministerio de Energía</t>
  </si>
  <si>
    <t>Nogales</t>
  </si>
  <si>
    <t>Cardones</t>
  </si>
  <si>
    <t>Decreto 2T/2017</t>
  </si>
  <si>
    <t>Valor promedio del tipo de cambio observado del dólar EEUU del segundo mes anterior al que aplique la indexación, publicado por el Banco Central.</t>
  </si>
  <si>
    <t>Producer Price IndexIndustry Data: Turbine &amp; Turbine Generator Set UnitMfg publicados por el Bureau of Labor Statistics (www.bls.gov, pcu333611333611) correspondiente al séptimo mes anterior al cual se aplique la indexación.</t>
  </si>
  <si>
    <t>Producer Price Index - Commodities publicados por el Bureau of Labor Statistics (www.bls.gov, WPU00000000) correspondiente al séptimo mes anterior al cual se aplique la indexación.</t>
  </si>
  <si>
    <t>Resolución Exenta N°488/2017</t>
  </si>
  <si>
    <t>Decreto 5T/2017</t>
  </si>
  <si>
    <t>Puerto Montt</t>
  </si>
  <si>
    <t>Resolución Exenta N°110/2018</t>
  </si>
  <si>
    <t>Decreto 1T/2018</t>
  </si>
  <si>
    <t>1.2 "Fórmulas de indexación" del Artículo Primero del Decreto N° 1T/2018 del Ministerio de Energía</t>
  </si>
  <si>
    <t>Decreto 12T/2018</t>
  </si>
  <si>
    <t>Resolución Exenta N°177/2019</t>
  </si>
  <si>
    <t>1.2 "Fórmulas de indexación" del Artículo Primero del Decreto N° 12T/2018 del Ministerio de Energía</t>
  </si>
  <si>
    <t>Decreto 1T/2019</t>
  </si>
  <si>
    <t>Decreto 9T/2019</t>
  </si>
  <si>
    <t>(*) Hasta octubre de 2019, corresponde al Subsistema Norte del SIC</t>
  </si>
  <si>
    <t>(**) Hasta octubre de 2019, correspondeal Subsistema Centro Sur del SIC</t>
  </si>
  <si>
    <t>Subsistema Centro - Norte (*)</t>
  </si>
  <si>
    <t>Subsistema Sur (**)</t>
  </si>
  <si>
    <t>Decreto 2T/2020</t>
  </si>
  <si>
    <t>Decreto 12T/2020</t>
  </si>
  <si>
    <t>1.2 "Fórmulas de indexación" del Artículo Primero del Decreto N° 1T/2019 del Ministerio de Energía</t>
  </si>
  <si>
    <t>1.2 "Fórmulas de indexación" del Artículo Primero del Decreto N° 9T/2019 del Ministerio de Energía</t>
  </si>
  <si>
    <t>1.2 "Fórmulas de indexación" del Artículo Primero del Decreto N° 2T/2020 del Ministerio de Energía</t>
  </si>
  <si>
    <t>1.2 "Fórmulas de indexación" del Artículo Primero del Decreto N° 12T/2020 del Ministerio de Energía</t>
  </si>
  <si>
    <t>Decreto 3T/2021</t>
  </si>
  <si>
    <t>1.2 "Fórmulas de indexación" del Artículo Primero del Decreto N° 3T/2021 del Ministerio de Energía</t>
  </si>
  <si>
    <t>Costo fijo</t>
  </si>
  <si>
    <t>LTT</t>
  </si>
  <si>
    <t xml:space="preserve">SE </t>
  </si>
  <si>
    <t>Central Generadora</t>
  </si>
  <si>
    <t>IPC (m-2)</t>
  </si>
  <si>
    <t>PPI (m-7)</t>
  </si>
  <si>
    <t>PPIturb (m-7)</t>
  </si>
  <si>
    <t>Dólar (m-2)</t>
  </si>
  <si>
    <t>Valor fijación ($/kW/mes)</t>
  </si>
  <si>
    <t>Componentes indexados en US$/KW</t>
  </si>
  <si>
    <t>Coef IPC</t>
  </si>
  <si>
    <t>Coef PPI</t>
  </si>
  <si>
    <t>Pbo (US$/kW)</t>
  </si>
  <si>
    <t>Coef PPIturb</t>
  </si>
  <si>
    <t>Costo financiero</t>
  </si>
  <si>
    <t>FRCLT</t>
  </si>
  <si>
    <t>FRCSE</t>
  </si>
  <si>
    <t>FRCTG</t>
  </si>
  <si>
    <t>1+FP</t>
  </si>
  <si>
    <t>1+MRT</t>
  </si>
  <si>
    <t>PBPOT $/kW/mes</t>
  </si>
  <si>
    <t>Línea de Transmisión</t>
  </si>
  <si>
    <t>Subestación</t>
  </si>
  <si>
    <t>Coeficientes Subsistema SUR (Subsistema Puerto Montt)</t>
  </si>
  <si>
    <t>COEFICIENTES DE POTENCIA</t>
  </si>
  <si>
    <t>http://www.cne.cl/tarificacion/electricidad/precios-de-nudo-de-corto-plazo</t>
  </si>
  <si>
    <t>Indexación de costos fijos de operación</t>
  </si>
  <si>
    <t>Indexación de subestación y línea de transmisión</t>
  </si>
  <si>
    <t>Indexación central generadora</t>
  </si>
  <si>
    <t>Fórmula de Precio Básico de la Potencia de Punta</t>
  </si>
  <si>
    <t>Ppot</t>
  </si>
  <si>
    <t>PbPot</t>
  </si>
  <si>
    <t>Dólar</t>
  </si>
  <si>
    <t>Fecha Base</t>
  </si>
  <si>
    <t>Redondeo</t>
  </si>
  <si>
    <t>Indexadores Base</t>
  </si>
  <si>
    <t>Otros Parámetros</t>
  </si>
  <si>
    <t>Variación (%)</t>
  </si>
  <si>
    <t>mes (m)</t>
  </si>
  <si>
    <t>Precio Potencia indexado Pbi ($/kW/mes)</t>
  </si>
  <si>
    <t xml:space="preserve">Índices de indexación </t>
  </si>
  <si>
    <t>(***) Publicación del Decreto en el Diario Oficial el 26 de febrero de 2022</t>
  </si>
  <si>
    <t>1.2 "Fórmulas de indexación" del Artículo Primero del Decreto N° 9T/2021 del Ministerio de Energía</t>
  </si>
  <si>
    <t>Decreto 9T/2021</t>
  </si>
  <si>
    <t>Decreto 9T/2021 indexado por RE N°117/2022</t>
  </si>
  <si>
    <t xml:space="preserve">Decreto 9T/2021 (***) indexado por RE N°117/2022 </t>
  </si>
  <si>
    <t>1.2 "Fórmulas de indexación" del Artículo Primero del Decreto N° 3T/2022 del Ministerio de Energía</t>
  </si>
  <si>
    <t>Coeficientes Subsistema NORTE (Subsistema Centro - Norte)</t>
  </si>
  <si>
    <t>Decreto 3T/2022</t>
  </si>
  <si>
    <t>Decreto 3T/2022 indexado por RE N°690/2022</t>
  </si>
  <si>
    <t>Decreto 11T/2022</t>
  </si>
  <si>
    <t>1.2 "Fórmulas de indexación" del Artículo Primero del Decreto N° 11T/2022 del Ministerio de Energía</t>
  </si>
  <si>
    <t>Decreto 11T/2022 indexado por RE N°866/2022</t>
  </si>
  <si>
    <t>1.2 "Fórmulas de indexación" del Artículo Primero del Decreto N° 1T/2023 del Ministerio de Energía</t>
  </si>
  <si>
    <t>Decreto 1T/2023</t>
  </si>
  <si>
    <t>Decreto 1T/2023 indexado por RE N°349/2023</t>
  </si>
  <si>
    <t>IPC Base-2023=100</t>
  </si>
  <si>
    <t>Factor de Enlace</t>
  </si>
  <si>
    <t>Decreto 3T/2023</t>
  </si>
  <si>
    <t>1.2 "Fórmulas de indexación" del Artículo Primero del Decreto N° 3T/2023 del Ministerio de Energía</t>
  </si>
  <si>
    <t>Decreto 3T/2023, indexado por RE N° 83/2024</t>
  </si>
  <si>
    <t>Decreto 1T/2024</t>
  </si>
  <si>
    <t>1.2 "Fórmulas de indexación" del Artículo Primero del Decreto N° 1T/2024 del Ministerio de Energía</t>
  </si>
  <si>
    <t>Decreto 9T/2024</t>
  </si>
  <si>
    <t>Decreto 1T/2025</t>
  </si>
  <si>
    <t>1.2 "Fórmulas de indexación" del Artículo Primero del Decreto N° 9T/2024 del Ministerio de Energía</t>
  </si>
  <si>
    <t>1.2 "Fórmulas de indexación" del Artículo Primero del Decreto N° 1T/2025 del Ministerio de Energía</t>
  </si>
  <si>
    <t>Decreto 20T/2025</t>
  </si>
  <si>
    <t>Decreto 4T/2026</t>
  </si>
  <si>
    <t>1.2 "Fórmulas de indexación" del Artículo Primero del Decreto N° 20T/2025 del Ministerio de Energía</t>
  </si>
  <si>
    <t>1.2 "Fórmulas de indexación" del Artículo Primero del Decreto N° 4T/2026 del Ministerio de Energía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</si>
</sst>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 * #,##0_ ;_ * \-#,##0_ ;_ * &quot;-&quot;_ ;_ @_ "/>
    <numFmt numFmtId="164" formatCode="_-* #,##0.00_-;\-* #,##0.00_-;_-* &quot;-&quot;??_-;_-@_-"/>
    <numFmt numFmtId="165" formatCode="_(* #,##0.00_);_(* \(#,##0.00\);_(* &quot;-&quot;??_);_(@_)"/>
    <numFmt numFmtId="166" formatCode="#,##0.0"/>
    <numFmt numFmtId="167" formatCode="_ * #,##0.00_ ;_ * \-#,##0.00_ ;_ * &quot;-&quot;_ ;_ @_ "/>
    <numFmt numFmtId="168" formatCode="_ * #,##0.000_ ;_ * \-#,##0.000_ ;_ * &quot;-&quot;_ ;_ @_ "/>
    <numFmt numFmtId="169" formatCode="0.00000"/>
    <numFmt numFmtId="170" formatCode="0.0%"/>
    <numFmt numFmtId="171" formatCode="_ * #,##0.0000_ ;_ * \-#,##0.0000_ ;_ * &quot;-&quot;_ ;_ @_ "/>
    <numFmt numFmtId="172" formatCode="_ * #,##0.00000_ ;_ * \-#,##0.00000_ ;_ * &quot;-&quot;_ ;_ @_ "/>
    <numFmt numFmtId="173" formatCode="#,##0.000"/>
    <numFmt numFmtId="174" formatCode="_ * #,##0.000000_ ;_ * \-#,##0.000000_ ;_ * &quot;-&quot;_ ;_ @_ "/>
    <numFmt numFmtId="175" formatCode="0.00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sz val="10"/>
      <name val="Arial"/>
      <family val="2"/>
    </font>
    <font>
      <sz val="10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theme="0" tint="-4.9989318521683403E-2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5" fillId="0" borderId="0"/>
    <xf numFmtId="0" fontId="3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0" fontId="8" fillId="0" borderId="60" applyNumberFormat="0" applyFill="0" applyAlignment="0" applyProtection="0"/>
    <xf numFmtId="0" fontId="9" fillId="0" borderId="61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9" borderId="62" applyNumberFormat="0" applyAlignment="0" applyProtection="0"/>
    <xf numFmtId="0" fontId="12" fillId="10" borderId="63" applyNumberFormat="0" applyAlignment="0" applyProtection="0"/>
    <xf numFmtId="0" fontId="13" fillId="10" borderId="62" applyNumberFormat="0" applyAlignment="0" applyProtection="0"/>
    <xf numFmtId="0" fontId="14" fillId="0" borderId="64" applyNumberFormat="0" applyFill="0" applyAlignment="0" applyProtection="0"/>
    <xf numFmtId="0" fontId="15" fillId="11" borderId="6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7" applyNumberFormat="0" applyFill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36" borderId="0" applyNumberFormat="0" applyBorder="0" applyAlignment="0" applyProtection="0"/>
    <xf numFmtId="0" fontId="21" fillId="8" borderId="0" applyNumberFormat="0" applyBorder="0" applyAlignment="0" applyProtection="0"/>
    <xf numFmtId="0" fontId="1" fillId="12" borderId="66" applyNumberFormat="0" applyFont="0" applyAlignment="0" applyProtection="0"/>
    <xf numFmtId="0" fontId="20" fillId="0" borderId="0" applyNumberFormat="0" applyFill="0" applyBorder="0" applyAlignment="0" applyProtection="0"/>
    <xf numFmtId="0" fontId="22" fillId="0" borderId="0"/>
    <xf numFmtId="41" fontId="24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1" fillId="0" borderId="0"/>
  </cellStyleXfs>
  <cellXfs count="351">
    <xf numFmtId="0" fontId="0" fillId="0" borderId="0" xfId="0"/>
    <xf numFmtId="0" fontId="0" fillId="0" borderId="0" xfId="0" applyAlignment="1">
      <alignment horizontal="center"/>
    </xf>
    <xf numFmtId="17" fontId="2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3" fillId="0" borderId="6" xfId="2" applyBorder="1" applyAlignment="1" applyProtection="1">
      <alignment horizontal="center" vertical="center"/>
    </xf>
    <xf numFmtId="0" fontId="3" fillId="0" borderId="7" xfId="2" applyBorder="1" applyAlignment="1" applyProtection="1">
      <alignment horizontal="center" vertical="center"/>
    </xf>
    <xf numFmtId="0" fontId="2" fillId="0" borderId="0" xfId="0" applyFont="1"/>
    <xf numFmtId="4" fontId="0" fillId="0" borderId="8" xfId="0" applyNumberForma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justify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justify" wrapText="1"/>
    </xf>
    <xf numFmtId="0" fontId="0" fillId="0" borderId="12" xfId="0" applyBorder="1" applyAlignment="1">
      <alignment horizontal="center" vertical="center"/>
    </xf>
    <xf numFmtId="0" fontId="3" fillId="0" borderId="13" xfId="2" applyBorder="1" applyAlignment="1" applyProtection="1">
      <alignment horizontal="center" vertical="center" wrapText="1"/>
    </xf>
    <xf numFmtId="166" fontId="0" fillId="0" borderId="1" xfId="0" applyNumberFormat="1" applyBorder="1" applyAlignment="1">
      <alignment horizontal="center"/>
    </xf>
    <xf numFmtId="0" fontId="4" fillId="4" borderId="15" xfId="0" applyFont="1" applyFill="1" applyBorder="1" applyAlignment="1">
      <alignment horizontal="centerContinuous"/>
    </xf>
    <xf numFmtId="0" fontId="4" fillId="4" borderId="16" xfId="0" applyFont="1" applyFill="1" applyBorder="1" applyAlignment="1">
      <alignment horizontal="centerContinuous"/>
    </xf>
    <xf numFmtId="0" fontId="4" fillId="4" borderId="17" xfId="0" applyFont="1" applyFill="1" applyBorder="1" applyAlignment="1">
      <alignment horizontal="centerContinuous"/>
    </xf>
    <xf numFmtId="165" fontId="0" fillId="0" borderId="1" xfId="3" applyFont="1" applyFill="1" applyBorder="1" applyAlignment="1">
      <alignment horizontal="center"/>
    </xf>
    <xf numFmtId="165" fontId="0" fillId="0" borderId="18" xfId="3" applyFont="1" applyFill="1" applyBorder="1" applyAlignment="1">
      <alignment horizontal="center"/>
    </xf>
    <xf numFmtId="0" fontId="0" fillId="4" borderId="16" xfId="0" applyFill="1" applyBorder="1" applyAlignment="1">
      <alignment horizontal="centerContinuous"/>
    </xf>
    <xf numFmtId="0" fontId="4" fillId="3" borderId="20" xfId="0" applyFont="1" applyFill="1" applyBorder="1" applyAlignment="1">
      <alignment horizontal="center" vertical="center"/>
    </xf>
    <xf numFmtId="10" fontId="0" fillId="0" borderId="21" xfId="7" applyNumberFormat="1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Continuous"/>
    </xf>
    <xf numFmtId="0" fontId="0" fillId="4" borderId="19" xfId="0" applyFill="1" applyBorder="1" applyAlignment="1">
      <alignment horizontal="centerContinuous"/>
    </xf>
    <xf numFmtId="0" fontId="4" fillId="3" borderId="23" xfId="0" applyFont="1" applyFill="1" applyBorder="1" applyAlignment="1">
      <alignment horizontal="center" vertical="center"/>
    </xf>
    <xf numFmtId="17" fontId="2" fillId="0" borderId="24" xfId="0" applyNumberFormat="1" applyFont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17" fontId="2" fillId="0" borderId="25" xfId="0" applyNumberFormat="1" applyFont="1" applyBorder="1" applyAlignment="1">
      <alignment horizontal="center"/>
    </xf>
    <xf numFmtId="17" fontId="2" fillId="5" borderId="25" xfId="0" applyNumberFormat="1" applyFont="1" applyFill="1" applyBorder="1" applyAlignment="1">
      <alignment horizontal="center"/>
    </xf>
    <xf numFmtId="165" fontId="6" fillId="5" borderId="1" xfId="3" applyFont="1" applyFill="1" applyBorder="1" applyAlignment="1">
      <alignment horizontal="center"/>
    </xf>
    <xf numFmtId="165" fontId="6" fillId="5" borderId="18" xfId="3" applyFont="1" applyFill="1" applyBorder="1" applyAlignment="1">
      <alignment horizontal="center"/>
    </xf>
    <xf numFmtId="17" fontId="2" fillId="5" borderId="24" xfId="0" applyNumberFormat="1" applyFont="1" applyFill="1" applyBorder="1" applyAlignment="1">
      <alignment horizontal="center"/>
    </xf>
    <xf numFmtId="17" fontId="2" fillId="5" borderId="1" xfId="0" applyNumberFormat="1" applyFon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4" fontId="0" fillId="5" borderId="8" xfId="0" applyNumberFormat="1" applyFill="1" applyBorder="1" applyAlignment="1">
      <alignment horizontal="center"/>
    </xf>
    <xf numFmtId="166" fontId="0" fillId="5" borderId="1" xfId="0" applyNumberFormat="1" applyFill="1" applyBorder="1" applyAlignment="1">
      <alignment horizontal="center"/>
    </xf>
    <xf numFmtId="10" fontId="6" fillId="5" borderId="21" xfId="7" applyNumberFormat="1" applyFont="1" applyFill="1" applyBorder="1" applyAlignment="1">
      <alignment horizontal="center"/>
    </xf>
    <xf numFmtId="17" fontId="2" fillId="0" borderId="26" xfId="0" applyNumberFormat="1" applyFont="1" applyBorder="1" applyAlignment="1">
      <alignment horizontal="center"/>
    </xf>
    <xf numFmtId="165" fontId="0" fillId="0" borderId="27" xfId="3" applyFont="1" applyFill="1" applyBorder="1" applyAlignment="1">
      <alignment horizontal="center"/>
    </xf>
    <xf numFmtId="165" fontId="0" fillId="0" borderId="28" xfId="3" applyFont="1" applyFill="1" applyBorder="1" applyAlignment="1">
      <alignment horizontal="center"/>
    </xf>
    <xf numFmtId="17" fontId="2" fillId="0" borderId="30" xfId="0" applyNumberFormat="1" applyFont="1" applyBorder="1" applyAlignment="1">
      <alignment horizontal="center"/>
    </xf>
    <xf numFmtId="17" fontId="2" fillId="0" borderId="31" xfId="0" applyNumberFormat="1" applyFont="1" applyBorder="1" applyAlignment="1">
      <alignment horizontal="center"/>
    </xf>
    <xf numFmtId="165" fontId="2" fillId="0" borderId="32" xfId="3" applyFont="1" applyFill="1" applyBorder="1" applyAlignment="1">
      <alignment horizontal="center"/>
    </xf>
    <xf numFmtId="165" fontId="2" fillId="0" borderId="33" xfId="3" applyFont="1" applyFill="1" applyBorder="1" applyAlignment="1">
      <alignment horizontal="center"/>
    </xf>
    <xf numFmtId="17" fontId="2" fillId="0" borderId="35" xfId="0" applyNumberFormat="1" applyFont="1" applyBorder="1" applyAlignment="1">
      <alignment horizontal="center"/>
    </xf>
    <xf numFmtId="17" fontId="2" fillId="5" borderId="36" xfId="0" applyNumberFormat="1" applyFont="1" applyFill="1" applyBorder="1" applyAlignment="1">
      <alignment horizontal="center"/>
    </xf>
    <xf numFmtId="165" fontId="6" fillId="5" borderId="37" xfId="3" applyFont="1" applyFill="1" applyBorder="1" applyAlignment="1">
      <alignment horizontal="center"/>
    </xf>
    <xf numFmtId="165" fontId="6" fillId="5" borderId="38" xfId="3" applyFont="1" applyFill="1" applyBorder="1" applyAlignment="1">
      <alignment horizontal="center"/>
    </xf>
    <xf numFmtId="17" fontId="2" fillId="5" borderId="40" xfId="0" applyNumberFormat="1" applyFont="1" applyFill="1" applyBorder="1" applyAlignment="1">
      <alignment horizontal="center"/>
    </xf>
    <xf numFmtId="17" fontId="2" fillId="0" borderId="27" xfId="0" applyNumberFormat="1" applyFont="1" applyBorder="1" applyAlignment="1">
      <alignment horizontal="center"/>
    </xf>
    <xf numFmtId="17" fontId="2" fillId="0" borderId="32" xfId="0" applyNumberFormat="1" applyFont="1" applyBorder="1" applyAlignment="1">
      <alignment horizontal="center"/>
    </xf>
    <xf numFmtId="17" fontId="2" fillId="5" borderId="37" xfId="0" applyNumberFormat="1" applyFont="1" applyFill="1" applyBorder="1" applyAlignment="1">
      <alignment horizontal="center"/>
    </xf>
    <xf numFmtId="10" fontId="0" fillId="0" borderId="29" xfId="7" applyNumberFormat="1" applyFont="1" applyFill="1" applyBorder="1" applyAlignment="1">
      <alignment horizontal="center"/>
    </xf>
    <xf numFmtId="10" fontId="2" fillId="0" borderId="34" xfId="7" applyNumberFormat="1" applyFont="1" applyFill="1" applyBorder="1" applyAlignment="1">
      <alignment horizontal="center"/>
    </xf>
    <xf numFmtId="10" fontId="6" fillId="5" borderId="39" xfId="7" applyNumberFormat="1" applyFont="1" applyFill="1" applyBorder="1" applyAlignment="1">
      <alignment horizontal="center"/>
    </xf>
    <xf numFmtId="165" fontId="0" fillId="0" borderId="32" xfId="3" applyFont="1" applyFill="1" applyBorder="1" applyAlignment="1">
      <alignment horizontal="center"/>
    </xf>
    <xf numFmtId="165" fontId="0" fillId="0" borderId="33" xfId="3" applyFont="1" applyFill="1" applyBorder="1" applyAlignment="1">
      <alignment horizontal="center"/>
    </xf>
    <xf numFmtId="10" fontId="0" fillId="0" borderId="34" xfId="7" applyNumberFormat="1" applyFont="1" applyFill="1" applyBorder="1" applyAlignment="1">
      <alignment horizontal="center"/>
    </xf>
    <xf numFmtId="17" fontId="2" fillId="5" borderId="41" xfId="0" applyNumberFormat="1" applyFont="1" applyFill="1" applyBorder="1" applyAlignment="1">
      <alignment horizontal="center"/>
    </xf>
    <xf numFmtId="17" fontId="2" fillId="5" borderId="42" xfId="0" applyNumberFormat="1" applyFont="1" applyFill="1" applyBorder="1" applyAlignment="1">
      <alignment horizontal="center"/>
    </xf>
    <xf numFmtId="165" fontId="6" fillId="5" borderId="41" xfId="3" applyFont="1" applyFill="1" applyBorder="1" applyAlignment="1">
      <alignment horizontal="center"/>
    </xf>
    <xf numFmtId="10" fontId="6" fillId="5" borderId="43" xfId="7" applyNumberFormat="1" applyFont="1" applyFill="1" applyBorder="1" applyAlignment="1">
      <alignment horizontal="center"/>
    </xf>
    <xf numFmtId="165" fontId="6" fillId="5" borderId="44" xfId="3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5" borderId="4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10" fontId="2" fillId="0" borderId="32" xfId="7" applyNumberFormat="1" applyFont="1" applyFill="1" applyBorder="1" applyAlignment="1">
      <alignment horizontal="center"/>
    </xf>
    <xf numFmtId="10" fontId="6" fillId="5" borderId="1" xfId="7" applyNumberFormat="1" applyFont="1" applyFill="1" applyBorder="1" applyAlignment="1">
      <alignment horizontal="center"/>
    </xf>
    <xf numFmtId="10" fontId="0" fillId="0" borderId="1" xfId="7" applyNumberFormat="1" applyFont="1" applyFill="1" applyBorder="1" applyAlignment="1">
      <alignment horizontal="center"/>
    </xf>
    <xf numFmtId="10" fontId="6" fillId="5" borderId="37" xfId="7" applyNumberFormat="1" applyFont="1" applyFill="1" applyBorder="1" applyAlignment="1">
      <alignment horizontal="center"/>
    </xf>
    <xf numFmtId="10" fontId="0" fillId="0" borderId="32" xfId="7" applyNumberFormat="1" applyFont="1" applyFill="1" applyBorder="1" applyAlignment="1">
      <alignment horizontal="center"/>
    </xf>
    <xf numFmtId="10" fontId="0" fillId="0" borderId="27" xfId="7" applyNumberFormat="1" applyFont="1" applyFill="1" applyBorder="1" applyAlignment="1">
      <alignment horizontal="center"/>
    </xf>
    <xf numFmtId="17" fontId="2" fillId="5" borderId="45" xfId="0" applyNumberFormat="1" applyFont="1" applyFill="1" applyBorder="1" applyAlignment="1">
      <alignment horizontal="center"/>
    </xf>
    <xf numFmtId="10" fontId="6" fillId="5" borderId="41" xfId="7" applyNumberFormat="1" applyFont="1" applyFill="1" applyBorder="1" applyAlignment="1">
      <alignment horizontal="center"/>
    </xf>
    <xf numFmtId="17" fontId="2" fillId="0" borderId="37" xfId="0" applyNumberFormat="1" applyFont="1" applyBorder="1" applyAlignment="1">
      <alignment horizontal="center"/>
    </xf>
    <xf numFmtId="17" fontId="2" fillId="0" borderId="36" xfId="0" applyNumberFormat="1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165" fontId="0" fillId="0" borderId="37" xfId="3" applyFont="1" applyFill="1" applyBorder="1" applyAlignment="1">
      <alignment horizontal="center"/>
    </xf>
    <xf numFmtId="10" fontId="0" fillId="0" borderId="39" xfId="7" applyNumberFormat="1" applyFont="1" applyFill="1" applyBorder="1" applyAlignment="1">
      <alignment horizontal="center"/>
    </xf>
    <xf numFmtId="17" fontId="2" fillId="0" borderId="40" xfId="0" applyNumberFormat="1" applyFont="1" applyBorder="1" applyAlignment="1">
      <alignment horizontal="center"/>
    </xf>
    <xf numFmtId="165" fontId="0" fillId="0" borderId="38" xfId="3" applyFont="1" applyFill="1" applyBorder="1" applyAlignment="1">
      <alignment horizontal="center"/>
    </xf>
    <xf numFmtId="10" fontId="0" fillId="0" borderId="37" xfId="7" applyNumberFormat="1" applyFont="1" applyFill="1" applyBorder="1" applyAlignment="1">
      <alignment horizontal="center"/>
    </xf>
    <xf numFmtId="17" fontId="2" fillId="5" borderId="9" xfId="0" applyNumberFormat="1" applyFont="1" applyFill="1" applyBorder="1" applyAlignment="1">
      <alignment horizontal="center"/>
    </xf>
    <xf numFmtId="17" fontId="2" fillId="5" borderId="15" xfId="0" applyNumberFormat="1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165" fontId="6" fillId="5" borderId="9" xfId="3" applyFont="1" applyFill="1" applyBorder="1" applyAlignment="1">
      <alignment horizontal="center"/>
    </xf>
    <xf numFmtId="10" fontId="6" fillId="5" borderId="20" xfId="7" applyNumberFormat="1" applyFont="1" applyFill="1" applyBorder="1" applyAlignment="1">
      <alignment horizontal="center"/>
    </xf>
    <xf numFmtId="17" fontId="2" fillId="5" borderId="23" xfId="0" applyNumberFormat="1" applyFont="1" applyFill="1" applyBorder="1" applyAlignment="1">
      <alignment horizontal="center"/>
    </xf>
    <xf numFmtId="165" fontId="6" fillId="5" borderId="17" xfId="3" applyFont="1" applyFill="1" applyBorder="1" applyAlignment="1">
      <alignment horizontal="center"/>
    </xf>
    <xf numFmtId="10" fontId="6" fillId="5" borderId="9" xfId="7" applyNumberFormat="1" applyFont="1" applyFill="1" applyBorder="1" applyAlignment="1">
      <alignment horizontal="center"/>
    </xf>
    <xf numFmtId="165" fontId="6" fillId="0" borderId="1" xfId="3" applyFont="1" applyFill="1" applyBorder="1" applyAlignment="1">
      <alignment horizontal="center"/>
    </xf>
    <xf numFmtId="10" fontId="6" fillId="0" borderId="1" xfId="7" applyNumberFormat="1" applyFont="1" applyFill="1" applyBorder="1" applyAlignment="1">
      <alignment horizontal="center"/>
    </xf>
    <xf numFmtId="10" fontId="6" fillId="0" borderId="21" xfId="7" applyNumberFormat="1" applyFont="1" applyFill="1" applyBorder="1" applyAlignment="1">
      <alignment horizontal="center"/>
    </xf>
    <xf numFmtId="165" fontId="6" fillId="0" borderId="18" xfId="3" applyFont="1" applyFill="1" applyBorder="1" applyAlignment="1">
      <alignment horizontal="center"/>
    </xf>
    <xf numFmtId="165" fontId="7" fillId="5" borderId="1" xfId="3" applyFont="1" applyFill="1" applyBorder="1" applyAlignment="1">
      <alignment horizontal="center"/>
    </xf>
    <xf numFmtId="17" fontId="2" fillId="5" borderId="26" xfId="0" applyNumberFormat="1" applyFont="1" applyFill="1" applyBorder="1" applyAlignment="1">
      <alignment horizontal="center"/>
    </xf>
    <xf numFmtId="165" fontId="6" fillId="5" borderId="27" xfId="3" applyFont="1" applyFill="1" applyBorder="1" applyAlignment="1">
      <alignment horizontal="center"/>
    </xf>
    <xf numFmtId="165" fontId="6" fillId="5" borderId="28" xfId="3" applyFont="1" applyFill="1" applyBorder="1" applyAlignment="1">
      <alignment horizontal="center"/>
    </xf>
    <xf numFmtId="17" fontId="2" fillId="5" borderId="30" xfId="0" applyNumberFormat="1" applyFont="1" applyFill="1" applyBorder="1" applyAlignment="1">
      <alignment horizontal="center"/>
    </xf>
    <xf numFmtId="17" fontId="2" fillId="5" borderId="27" xfId="0" applyNumberFormat="1" applyFont="1" applyFill="1" applyBorder="1" applyAlignment="1">
      <alignment horizontal="center"/>
    </xf>
    <xf numFmtId="17" fontId="2" fillId="0" borderId="41" xfId="0" applyNumberFormat="1" applyFont="1" applyBorder="1" applyAlignment="1">
      <alignment horizontal="center"/>
    </xf>
    <xf numFmtId="165" fontId="0" fillId="0" borderId="41" xfId="3" applyFont="1" applyFill="1" applyBorder="1" applyAlignment="1">
      <alignment horizontal="center"/>
    </xf>
    <xf numFmtId="10" fontId="0" fillId="0" borderId="41" xfId="7" applyNumberFormat="1" applyFont="1" applyFill="1" applyBorder="1" applyAlignment="1">
      <alignment horizontal="center"/>
    </xf>
    <xf numFmtId="17" fontId="2" fillId="5" borderId="32" xfId="0" applyNumberFormat="1" applyFont="1" applyFill="1" applyBorder="1" applyAlignment="1">
      <alignment horizontal="center"/>
    </xf>
    <xf numFmtId="0" fontId="2" fillId="5" borderId="33" xfId="0" applyFont="1" applyFill="1" applyBorder="1" applyAlignment="1">
      <alignment horizontal="center"/>
    </xf>
    <xf numFmtId="165" fontId="7" fillId="5" borderId="32" xfId="3" applyFont="1" applyFill="1" applyBorder="1" applyAlignment="1">
      <alignment horizontal="center"/>
    </xf>
    <xf numFmtId="10" fontId="7" fillId="5" borderId="34" xfId="7" applyNumberFormat="1" applyFont="1" applyFill="1" applyBorder="1" applyAlignment="1">
      <alignment horizontal="center"/>
    </xf>
    <xf numFmtId="17" fontId="2" fillId="5" borderId="35" xfId="0" applyNumberFormat="1" applyFont="1" applyFill="1" applyBorder="1" applyAlignment="1">
      <alignment horizontal="center"/>
    </xf>
    <xf numFmtId="165" fontId="7" fillId="5" borderId="33" xfId="3" applyFont="1" applyFill="1" applyBorder="1" applyAlignment="1">
      <alignment horizontal="center"/>
    </xf>
    <xf numFmtId="10" fontId="7" fillId="5" borderId="32" xfId="7" applyNumberFormat="1" applyFont="1" applyFill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2" fillId="0" borderId="14" xfId="0" applyFont="1" applyBorder="1" applyAlignment="1">
      <alignment horizontal="justify" wrapText="1"/>
    </xf>
    <xf numFmtId="17" fontId="2" fillId="0" borderId="45" xfId="0" applyNumberFormat="1" applyFont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165" fontId="7" fillId="5" borderId="41" xfId="3" applyFont="1" applyFill="1" applyBorder="1" applyAlignment="1">
      <alignment horizontal="center"/>
    </xf>
    <xf numFmtId="10" fontId="7" fillId="5" borderId="41" xfId="7" applyNumberFormat="1" applyFont="1" applyFill="1" applyBorder="1" applyAlignment="1">
      <alignment horizontal="center"/>
    </xf>
    <xf numFmtId="10" fontId="7" fillId="5" borderId="43" xfId="7" applyNumberFormat="1" applyFont="1" applyFill="1" applyBorder="1" applyAlignment="1">
      <alignment horizontal="center"/>
    </xf>
    <xf numFmtId="165" fontId="7" fillId="5" borderId="44" xfId="3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10" fontId="6" fillId="5" borderId="27" xfId="7" applyNumberFormat="1" applyFont="1" applyFill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10" fontId="6" fillId="5" borderId="29" xfId="7" applyNumberFormat="1" applyFont="1" applyFill="1" applyBorder="1" applyAlignment="1">
      <alignment horizontal="center"/>
    </xf>
    <xf numFmtId="17" fontId="2" fillId="5" borderId="31" xfId="0" applyNumberFormat="1" applyFont="1" applyFill="1" applyBorder="1" applyAlignment="1">
      <alignment horizontal="center"/>
    </xf>
    <xf numFmtId="165" fontId="6" fillId="5" borderId="32" xfId="3" applyFont="1" applyFill="1" applyBorder="1" applyAlignment="1">
      <alignment horizontal="center"/>
    </xf>
    <xf numFmtId="165" fontId="6" fillId="5" borderId="33" xfId="3" applyFont="1" applyFill="1" applyBorder="1" applyAlignment="1">
      <alignment horizontal="center"/>
    </xf>
    <xf numFmtId="17" fontId="2" fillId="5" borderId="49" xfId="0" applyNumberFormat="1" applyFont="1" applyFill="1" applyBorder="1" applyAlignment="1">
      <alignment horizontal="center"/>
    </xf>
    <xf numFmtId="10" fontId="6" fillId="5" borderId="32" xfId="7" applyNumberFormat="1" applyFont="1" applyFill="1" applyBorder="1" applyAlignment="1">
      <alignment horizontal="center"/>
    </xf>
    <xf numFmtId="0" fontId="2" fillId="0" borderId="44" xfId="0" applyFont="1" applyBorder="1" applyAlignment="1">
      <alignment horizontal="center"/>
    </xf>
    <xf numFmtId="10" fontId="0" fillId="0" borderId="43" xfId="7" applyNumberFormat="1" applyFont="1" applyFill="1" applyBorder="1" applyAlignment="1">
      <alignment horizontal="center"/>
    </xf>
    <xf numFmtId="17" fontId="2" fillId="0" borderId="42" xfId="0" applyNumberFormat="1" applyFont="1" applyBorder="1" applyAlignment="1">
      <alignment horizontal="center"/>
    </xf>
    <xf numFmtId="165" fontId="0" fillId="0" borderId="44" xfId="3" applyFont="1" applyFill="1" applyBorder="1" applyAlignment="1">
      <alignment horizontal="center"/>
    </xf>
    <xf numFmtId="10" fontId="6" fillId="5" borderId="34" xfId="7" applyNumberFormat="1" applyFont="1" applyFill="1" applyBorder="1" applyAlignment="1">
      <alignment horizontal="center"/>
    </xf>
    <xf numFmtId="165" fontId="6" fillId="5" borderId="50" xfId="3" applyFont="1" applyFill="1" applyBorder="1" applyAlignment="1">
      <alignment horizontal="center"/>
    </xf>
    <xf numFmtId="0" fontId="2" fillId="5" borderId="49" xfId="0" applyFont="1" applyFill="1" applyBorder="1" applyAlignment="1">
      <alignment horizontal="center"/>
    </xf>
    <xf numFmtId="165" fontId="6" fillId="5" borderId="49" xfId="3" applyFont="1" applyFill="1" applyBorder="1" applyAlignment="1">
      <alignment horizontal="center"/>
    </xf>
    <xf numFmtId="10" fontId="6" fillId="5" borderId="49" xfId="7" applyNumberFormat="1" applyFont="1" applyFill="1" applyBorder="1" applyAlignment="1">
      <alignment horizontal="center"/>
    </xf>
    <xf numFmtId="0" fontId="2" fillId="5" borderId="52" xfId="0" applyFont="1" applyFill="1" applyBorder="1" applyAlignment="1">
      <alignment horizontal="center"/>
    </xf>
    <xf numFmtId="10" fontId="6" fillId="5" borderId="53" xfId="7" applyNumberFormat="1" applyFont="1" applyFill="1" applyBorder="1" applyAlignment="1">
      <alignment horizontal="center"/>
    </xf>
    <xf numFmtId="17" fontId="2" fillId="5" borderId="54" xfId="0" applyNumberFormat="1" applyFont="1" applyFill="1" applyBorder="1" applyAlignment="1">
      <alignment horizontal="center"/>
    </xf>
    <xf numFmtId="165" fontId="6" fillId="5" borderId="52" xfId="3" applyFont="1" applyFill="1" applyBorder="1" applyAlignment="1">
      <alignment horizontal="center"/>
    </xf>
    <xf numFmtId="165" fontId="6" fillId="0" borderId="41" xfId="3" applyFont="1" applyFill="1" applyBorder="1" applyAlignment="1">
      <alignment horizontal="center"/>
    </xf>
    <xf numFmtId="165" fontId="6" fillId="0" borderId="44" xfId="3" applyFont="1" applyFill="1" applyBorder="1" applyAlignment="1">
      <alignment horizontal="center"/>
    </xf>
    <xf numFmtId="10" fontId="6" fillId="0" borderId="43" xfId="7" applyNumberFormat="1" applyFont="1" applyFill="1" applyBorder="1" applyAlignment="1">
      <alignment horizontal="center"/>
    </xf>
    <xf numFmtId="10" fontId="6" fillId="0" borderId="41" xfId="7" applyNumberFormat="1" applyFont="1" applyFill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0" xfId="0" applyBorder="1" applyAlignment="1">
      <alignment horizontal="center"/>
    </xf>
    <xf numFmtId="17" fontId="2" fillId="3" borderId="57" xfId="0" applyNumberFormat="1" applyFont="1" applyFill="1" applyBorder="1" applyAlignment="1">
      <alignment horizontal="center"/>
    </xf>
    <xf numFmtId="165" fontId="6" fillId="3" borderId="46" xfId="3" applyFont="1" applyFill="1" applyBorder="1" applyAlignment="1">
      <alignment horizontal="center"/>
    </xf>
    <xf numFmtId="17" fontId="2" fillId="3" borderId="46" xfId="0" applyNumberFormat="1" applyFont="1" applyFill="1" applyBorder="1" applyAlignment="1">
      <alignment horizontal="center"/>
    </xf>
    <xf numFmtId="0" fontId="2" fillId="3" borderId="46" xfId="0" applyFont="1" applyFill="1" applyBorder="1" applyAlignment="1">
      <alignment horizontal="center"/>
    </xf>
    <xf numFmtId="10" fontId="6" fillId="3" borderId="52" xfId="7" applyNumberFormat="1" applyFont="1" applyFill="1" applyBorder="1" applyAlignment="1">
      <alignment horizontal="center"/>
    </xf>
    <xf numFmtId="17" fontId="2" fillId="3" borderId="51" xfId="0" applyNumberFormat="1" applyFont="1" applyFill="1" applyBorder="1" applyAlignment="1">
      <alignment horizontal="center"/>
    </xf>
    <xf numFmtId="165" fontId="6" fillId="3" borderId="0" xfId="3" applyFont="1" applyFill="1" applyBorder="1" applyAlignment="1">
      <alignment horizontal="center"/>
    </xf>
    <xf numFmtId="17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0" fontId="6" fillId="3" borderId="50" xfId="7" applyNumberFormat="1" applyFont="1" applyFill="1" applyBorder="1" applyAlignment="1">
      <alignment horizontal="center"/>
    </xf>
    <xf numFmtId="17" fontId="2" fillId="5" borderId="55" xfId="0" applyNumberFormat="1" applyFont="1" applyFill="1" applyBorder="1" applyAlignment="1">
      <alignment horizontal="center"/>
    </xf>
    <xf numFmtId="0" fontId="2" fillId="5" borderId="50" xfId="0" applyFont="1" applyFill="1" applyBorder="1" applyAlignment="1">
      <alignment horizontal="center"/>
    </xf>
    <xf numFmtId="165" fontId="6" fillId="5" borderId="55" xfId="3" applyFont="1" applyFill="1" applyBorder="1" applyAlignment="1">
      <alignment horizontal="center"/>
    </xf>
    <xf numFmtId="10" fontId="6" fillId="5" borderId="58" xfId="7" applyNumberFormat="1" applyFont="1" applyFill="1" applyBorder="1" applyAlignment="1">
      <alignment horizontal="center"/>
    </xf>
    <xf numFmtId="17" fontId="2" fillId="5" borderId="59" xfId="0" applyNumberFormat="1" applyFont="1" applyFill="1" applyBorder="1" applyAlignment="1">
      <alignment horizontal="center"/>
    </xf>
    <xf numFmtId="10" fontId="6" fillId="5" borderId="55" xfId="7" applyNumberFormat="1" applyFont="1" applyFill="1" applyBorder="1" applyAlignment="1">
      <alignment horizontal="center"/>
    </xf>
    <xf numFmtId="17" fontId="2" fillId="0" borderId="55" xfId="0" applyNumberFormat="1" applyFont="1" applyBorder="1" applyAlignment="1">
      <alignment horizontal="center"/>
    </xf>
    <xf numFmtId="165" fontId="6" fillId="0" borderId="55" xfId="3" applyFont="1" applyFill="1" applyBorder="1" applyAlignment="1">
      <alignment horizontal="center"/>
    </xf>
    <xf numFmtId="17" fontId="2" fillId="6" borderId="41" xfId="0" applyNumberFormat="1" applyFont="1" applyFill="1" applyBorder="1" applyAlignment="1">
      <alignment horizontal="center"/>
    </xf>
    <xf numFmtId="165" fontId="6" fillId="6" borderId="41" xfId="3" applyFont="1" applyFill="1" applyBorder="1" applyAlignment="1">
      <alignment horizontal="center"/>
    </xf>
    <xf numFmtId="0" fontId="2" fillId="0" borderId="50" xfId="0" applyFont="1" applyBorder="1" applyAlignment="1">
      <alignment horizontal="center"/>
    </xf>
    <xf numFmtId="10" fontId="6" fillId="0" borderId="58" xfId="7" applyNumberFormat="1" applyFont="1" applyFill="1" applyBorder="1" applyAlignment="1">
      <alignment horizontal="center"/>
    </xf>
    <xf numFmtId="17" fontId="2" fillId="0" borderId="59" xfId="0" applyNumberFormat="1" applyFont="1" applyBorder="1" applyAlignment="1">
      <alignment horizontal="center"/>
    </xf>
    <xf numFmtId="165" fontId="6" fillId="0" borderId="50" xfId="3" applyFont="1" applyFill="1" applyBorder="1" applyAlignment="1">
      <alignment horizontal="center"/>
    </xf>
    <xf numFmtId="10" fontId="6" fillId="0" borderId="55" xfId="7" applyNumberFormat="1" applyFont="1" applyFill="1" applyBorder="1" applyAlignment="1">
      <alignment horizontal="center"/>
    </xf>
    <xf numFmtId="165" fontId="6" fillId="0" borderId="37" xfId="3" applyFont="1" applyFill="1" applyBorder="1" applyAlignment="1">
      <alignment horizontal="center"/>
    </xf>
    <xf numFmtId="10" fontId="6" fillId="0" borderId="39" xfId="7" applyNumberFormat="1" applyFont="1" applyFill="1" applyBorder="1" applyAlignment="1">
      <alignment horizontal="center"/>
    </xf>
    <xf numFmtId="165" fontId="6" fillId="0" borderId="38" xfId="3" applyFont="1" applyFill="1" applyBorder="1" applyAlignment="1">
      <alignment horizontal="center"/>
    </xf>
    <xf numFmtId="10" fontId="6" fillId="0" borderId="37" xfId="7" applyNumberFormat="1" applyFont="1" applyFill="1" applyBorder="1" applyAlignment="1">
      <alignment horizontal="center"/>
    </xf>
    <xf numFmtId="17" fontId="2" fillId="6" borderId="1" xfId="0" applyNumberFormat="1" applyFont="1" applyFill="1" applyBorder="1" applyAlignment="1">
      <alignment horizontal="center"/>
    </xf>
    <xf numFmtId="165" fontId="6" fillId="6" borderId="1" xfId="3" applyFont="1" applyFill="1" applyBorder="1" applyAlignment="1">
      <alignment horizontal="center"/>
    </xf>
    <xf numFmtId="166" fontId="0" fillId="6" borderId="1" xfId="0" applyNumberForma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10" fontId="6" fillId="6" borderId="21" xfId="7" applyNumberFormat="1" applyFont="1" applyFill="1" applyBorder="1" applyAlignment="1">
      <alignment horizontal="center"/>
    </xf>
    <xf numFmtId="17" fontId="2" fillId="6" borderId="24" xfId="0" applyNumberFormat="1" applyFont="1" applyFill="1" applyBorder="1" applyAlignment="1">
      <alignment horizontal="center"/>
    </xf>
    <xf numFmtId="165" fontId="6" fillId="6" borderId="18" xfId="3" applyFont="1" applyFill="1" applyBorder="1" applyAlignment="1">
      <alignment horizontal="center"/>
    </xf>
    <xf numFmtId="10" fontId="6" fillId="6" borderId="1" xfId="7" applyNumberFormat="1" applyFon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4" fontId="0" fillId="6" borderId="8" xfId="0" applyNumberForma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0" fontId="6" fillId="6" borderId="43" xfId="7" applyNumberFormat="1" applyFont="1" applyFill="1" applyBorder="1" applyAlignment="1">
      <alignment horizontal="center"/>
    </xf>
    <xf numFmtId="17" fontId="2" fillId="6" borderId="42" xfId="0" applyNumberFormat="1" applyFont="1" applyFill="1" applyBorder="1" applyAlignment="1">
      <alignment horizontal="center"/>
    </xf>
    <xf numFmtId="165" fontId="6" fillId="6" borderId="44" xfId="3" applyFont="1" applyFill="1" applyBorder="1" applyAlignment="1">
      <alignment horizontal="center"/>
    </xf>
    <xf numFmtId="10" fontId="6" fillId="6" borderId="41" xfId="7" applyNumberFormat="1" applyFont="1" applyFill="1" applyBorder="1" applyAlignment="1">
      <alignment horizontal="center"/>
    </xf>
    <xf numFmtId="0" fontId="4" fillId="0" borderId="0" xfId="0" applyFont="1"/>
    <xf numFmtId="0" fontId="2" fillId="0" borderId="0" xfId="4"/>
    <xf numFmtId="0" fontId="2" fillId="0" borderId="0" xfId="4" applyAlignment="1">
      <alignment horizontal="center"/>
    </xf>
    <xf numFmtId="0" fontId="25" fillId="0" borderId="0" xfId="4" applyFont="1"/>
    <xf numFmtId="0" fontId="2" fillId="0" borderId="0" xfId="4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26" fillId="0" borderId="0" xfId="4" applyFont="1"/>
    <xf numFmtId="0" fontId="27" fillId="0" borderId="0" xfId="52" applyAlignment="1" applyProtection="1"/>
    <xf numFmtId="0" fontId="4" fillId="0" borderId="0" xfId="4" applyFont="1"/>
    <xf numFmtId="14" fontId="2" fillId="0" borderId="6" xfId="4" applyNumberFormat="1" applyBorder="1" applyAlignment="1">
      <alignment horizontal="center"/>
    </xf>
    <xf numFmtId="0" fontId="4" fillId="3" borderId="6" xfId="4" applyFont="1" applyFill="1" applyBorder="1" applyAlignment="1">
      <alignment horizontal="center" vertical="center"/>
    </xf>
    <xf numFmtId="0" fontId="4" fillId="3" borderId="6" xfId="4" applyFont="1" applyFill="1" applyBorder="1" applyAlignment="1">
      <alignment horizontal="center"/>
    </xf>
    <xf numFmtId="169" fontId="0" fillId="0" borderId="1" xfId="0" applyNumberFormat="1" applyBorder="1" applyAlignment="1">
      <alignment horizontal="center"/>
    </xf>
    <xf numFmtId="169" fontId="0" fillId="0" borderId="8" xfId="0" applyNumberFormat="1" applyBorder="1" applyAlignment="1">
      <alignment horizontal="center"/>
    </xf>
    <xf numFmtId="169" fontId="0" fillId="5" borderId="1" xfId="0" applyNumberFormat="1" applyFill="1" applyBorder="1" applyAlignment="1">
      <alignment horizontal="center"/>
    </xf>
    <xf numFmtId="169" fontId="0" fillId="5" borderId="8" xfId="0" applyNumberFormat="1" applyFill="1" applyBorder="1" applyAlignment="1">
      <alignment horizontal="center"/>
    </xf>
    <xf numFmtId="169" fontId="0" fillId="6" borderId="1" xfId="0" applyNumberFormat="1" applyFill="1" applyBorder="1" applyAlignment="1">
      <alignment horizontal="center"/>
    </xf>
    <xf numFmtId="169" fontId="0" fillId="6" borderId="8" xfId="0" applyNumberFormat="1" applyFill="1" applyBorder="1" applyAlignment="1">
      <alignment horizontal="center"/>
    </xf>
    <xf numFmtId="167" fontId="2" fillId="6" borderId="1" xfId="49" applyNumberFormat="1" applyFont="1" applyFill="1" applyBorder="1" applyAlignment="1">
      <alignment horizontal="center"/>
    </xf>
    <xf numFmtId="168" fontId="2" fillId="5" borderId="1" xfId="49" applyNumberFormat="1" applyFont="1" applyFill="1" applyBorder="1" applyAlignment="1">
      <alignment horizontal="center"/>
    </xf>
    <xf numFmtId="168" fontId="2" fillId="0" borderId="1" xfId="49" applyNumberFormat="1" applyFont="1" applyFill="1" applyBorder="1" applyAlignment="1">
      <alignment horizontal="center"/>
    </xf>
    <xf numFmtId="170" fontId="2" fillId="6" borderId="1" xfId="7" applyNumberFormat="1" applyFont="1" applyFill="1" applyBorder="1" applyAlignment="1">
      <alignment horizontal="center"/>
    </xf>
    <xf numFmtId="17" fontId="2" fillId="0" borderId="0" xfId="4" applyNumberFormat="1"/>
    <xf numFmtId="41" fontId="2" fillId="6" borderId="1" xfId="49" applyFont="1" applyFill="1" applyBorder="1" applyAlignment="1">
      <alignment horizontal="center"/>
    </xf>
    <xf numFmtId="167" fontId="2" fillId="5" borderId="1" xfId="49" applyNumberFormat="1" applyFont="1" applyFill="1" applyBorder="1" applyAlignment="1">
      <alignment horizontal="center"/>
    </xf>
    <xf numFmtId="41" fontId="2" fillId="5" borderId="1" xfId="49" applyFont="1" applyFill="1" applyBorder="1" applyAlignment="1">
      <alignment horizontal="center"/>
    </xf>
    <xf numFmtId="170" fontId="2" fillId="5" borderId="1" xfId="7" applyNumberFormat="1" applyFont="1" applyFill="1" applyBorder="1" applyAlignment="1">
      <alignment horizontal="center"/>
    </xf>
    <xf numFmtId="0" fontId="2" fillId="6" borderId="0" xfId="4" applyFill="1"/>
    <xf numFmtId="17" fontId="2" fillId="6" borderId="37" xfId="0" applyNumberFormat="1" applyFont="1" applyFill="1" applyBorder="1" applyAlignment="1">
      <alignment horizontal="center"/>
    </xf>
    <xf numFmtId="0" fontId="2" fillId="6" borderId="38" xfId="0" applyFont="1" applyFill="1" applyBorder="1" applyAlignment="1">
      <alignment horizontal="center"/>
    </xf>
    <xf numFmtId="165" fontId="6" fillId="6" borderId="37" xfId="3" applyFont="1" applyFill="1" applyBorder="1" applyAlignment="1">
      <alignment horizontal="center"/>
    </xf>
    <xf numFmtId="10" fontId="6" fillId="6" borderId="39" xfId="7" applyNumberFormat="1" applyFont="1" applyFill="1" applyBorder="1" applyAlignment="1">
      <alignment horizontal="center"/>
    </xf>
    <xf numFmtId="17" fontId="2" fillId="6" borderId="40" xfId="0" applyNumberFormat="1" applyFont="1" applyFill="1" applyBorder="1" applyAlignment="1">
      <alignment horizontal="center"/>
    </xf>
    <xf numFmtId="165" fontId="6" fillId="6" borderId="38" xfId="3" applyFont="1" applyFill="1" applyBorder="1" applyAlignment="1">
      <alignment horizontal="center"/>
    </xf>
    <xf numFmtId="10" fontId="6" fillId="6" borderId="37" xfId="7" applyNumberFormat="1" applyFont="1" applyFill="1" applyBorder="1" applyAlignment="1">
      <alignment horizontal="center"/>
    </xf>
    <xf numFmtId="0" fontId="4" fillId="5" borderId="49" xfId="0" applyFont="1" applyFill="1" applyBorder="1"/>
    <xf numFmtId="0" fontId="4" fillId="5" borderId="55" xfId="0" applyFont="1" applyFill="1" applyBorder="1"/>
    <xf numFmtId="0" fontId="4" fillId="5" borderId="47" xfId="0" applyFont="1" applyFill="1" applyBorder="1"/>
    <xf numFmtId="0" fontId="2" fillId="0" borderId="68" xfId="4" applyBorder="1" applyAlignment="1">
      <alignment horizontal="center" vertical="center"/>
    </xf>
    <xf numFmtId="0" fontId="2" fillId="5" borderId="70" xfId="4" applyFill="1" applyBorder="1" applyAlignment="1">
      <alignment horizontal="center" vertical="center"/>
    </xf>
    <xf numFmtId="0" fontId="2" fillId="5" borderId="69" xfId="4" applyFill="1" applyBorder="1" applyAlignment="1">
      <alignment horizontal="center" vertical="center"/>
    </xf>
    <xf numFmtId="2" fontId="2" fillId="0" borderId="6" xfId="4" applyNumberFormat="1" applyBorder="1"/>
    <xf numFmtId="0" fontId="4" fillId="3" borderId="56" xfId="4" applyFont="1" applyFill="1" applyBorder="1" applyAlignment="1">
      <alignment horizontal="center" vertical="center"/>
    </xf>
    <xf numFmtId="0" fontId="2" fillId="0" borderId="6" xfId="4" applyBorder="1" applyAlignment="1">
      <alignment horizontal="center" vertical="center"/>
    </xf>
    <xf numFmtId="167" fontId="2" fillId="0" borderId="1" xfId="49" applyNumberFormat="1" applyFont="1" applyFill="1" applyBorder="1" applyAlignment="1">
      <alignment horizontal="center"/>
    </xf>
    <xf numFmtId="171" fontId="2" fillId="0" borderId="1" xfId="49" applyNumberFormat="1" applyFont="1" applyFill="1" applyBorder="1" applyAlignment="1">
      <alignment horizontal="center"/>
    </xf>
    <xf numFmtId="171" fontId="2" fillId="5" borderId="1" xfId="49" applyNumberFormat="1" applyFont="1" applyFill="1" applyBorder="1" applyAlignment="1">
      <alignment horizontal="center"/>
    </xf>
    <xf numFmtId="172" fontId="2" fillId="0" borderId="1" xfId="49" applyNumberFormat="1" applyFont="1" applyFill="1" applyBorder="1" applyAlignment="1">
      <alignment horizontal="center"/>
    </xf>
    <xf numFmtId="172" fontId="2" fillId="5" borderId="1" xfId="49" applyNumberFormat="1" applyFont="1" applyFill="1" applyBorder="1" applyAlignment="1">
      <alignment horizontal="center"/>
    </xf>
    <xf numFmtId="168" fontId="2" fillId="6" borderId="1" xfId="49" applyNumberFormat="1" applyFont="1" applyFill="1" applyBorder="1" applyAlignment="1">
      <alignment horizontal="center"/>
    </xf>
    <xf numFmtId="17" fontId="29" fillId="5" borderId="41" xfId="0" applyNumberFormat="1" applyFont="1" applyFill="1" applyBorder="1" applyAlignment="1">
      <alignment horizontal="center"/>
    </xf>
    <xf numFmtId="170" fontId="2" fillId="5" borderId="41" xfId="7" applyNumberFormat="1" applyFont="1" applyFill="1" applyBorder="1" applyAlignment="1">
      <alignment horizontal="center"/>
    </xf>
    <xf numFmtId="170" fontId="2" fillId="0" borderId="1" xfId="7" applyNumberFormat="1" applyFont="1" applyFill="1" applyBorder="1" applyAlignment="1">
      <alignment horizontal="center"/>
    </xf>
    <xf numFmtId="170" fontId="0" fillId="0" borderId="1" xfId="7" applyNumberFormat="1" applyFont="1" applyFill="1" applyBorder="1" applyAlignment="1">
      <alignment horizontal="center"/>
    </xf>
    <xf numFmtId="167" fontId="2" fillId="5" borderId="41" xfId="49" applyNumberFormat="1" applyFont="1" applyFill="1" applyBorder="1" applyAlignment="1">
      <alignment horizontal="center"/>
    </xf>
    <xf numFmtId="168" fontId="2" fillId="5" borderId="41" xfId="49" applyNumberFormat="1" applyFont="1" applyFill="1" applyBorder="1" applyAlignment="1">
      <alignment horizontal="center"/>
    </xf>
    <xf numFmtId="41" fontId="2" fillId="5" borderId="41" xfId="49" applyFont="1" applyFill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3" fontId="0" fillId="5" borderId="1" xfId="0" applyNumberFormat="1" applyFill="1" applyBorder="1" applyAlignment="1">
      <alignment horizontal="center"/>
    </xf>
    <xf numFmtId="170" fontId="2" fillId="0" borderId="0" xfId="7" applyNumberFormat="1"/>
    <xf numFmtId="167" fontId="2" fillId="6" borderId="41" xfId="49" applyNumberFormat="1" applyFont="1" applyFill="1" applyBorder="1" applyAlignment="1">
      <alignment horizontal="center"/>
    </xf>
    <xf numFmtId="168" fontId="2" fillId="6" borderId="41" xfId="49" applyNumberFormat="1" applyFont="1" applyFill="1" applyBorder="1" applyAlignment="1">
      <alignment horizontal="center"/>
    </xf>
    <xf numFmtId="41" fontId="2" fillId="6" borderId="41" xfId="49" applyFont="1" applyFill="1" applyBorder="1" applyAlignment="1">
      <alignment horizontal="center"/>
    </xf>
    <xf numFmtId="170" fontId="2" fillId="6" borderId="41" xfId="7" applyNumberFormat="1" applyFont="1" applyFill="1" applyBorder="1" applyAlignment="1">
      <alignment horizontal="center"/>
    </xf>
    <xf numFmtId="170" fontId="0" fillId="0" borderId="41" xfId="7" applyNumberFormat="1" applyFont="1" applyFill="1" applyBorder="1" applyAlignment="1">
      <alignment horizontal="center"/>
    </xf>
    <xf numFmtId="0" fontId="2" fillId="0" borderId="32" xfId="4" applyBorder="1" applyAlignment="1">
      <alignment horizontal="center" vertical="center"/>
    </xf>
    <xf numFmtId="0" fontId="2" fillId="5" borderId="1" xfId="4" applyFill="1" applyBorder="1" applyAlignment="1">
      <alignment horizontal="center" vertical="center"/>
    </xf>
    <xf numFmtId="0" fontId="2" fillId="0" borderId="1" xfId="4" applyBorder="1" applyAlignment="1">
      <alignment horizontal="center" vertical="center"/>
    </xf>
    <xf numFmtId="0" fontId="2" fillId="5" borderId="27" xfId="4" applyFill="1" applyBorder="1" applyAlignment="1">
      <alignment horizontal="center" vertical="center"/>
    </xf>
    <xf numFmtId="17" fontId="2" fillId="6" borderId="27" xfId="0" applyNumberFormat="1" applyFont="1" applyFill="1" applyBorder="1" applyAlignment="1">
      <alignment horizontal="center"/>
    </xf>
    <xf numFmtId="167" fontId="2" fillId="6" borderId="27" xfId="49" applyNumberFormat="1" applyFont="1" applyFill="1" applyBorder="1" applyAlignment="1">
      <alignment horizontal="center"/>
    </xf>
    <xf numFmtId="168" fontId="2" fillId="6" borderId="27" xfId="49" applyNumberFormat="1" applyFont="1" applyFill="1" applyBorder="1" applyAlignment="1">
      <alignment horizontal="center"/>
    </xf>
    <xf numFmtId="41" fontId="2" fillId="6" borderId="27" xfId="49" applyFont="1" applyFill="1" applyBorder="1" applyAlignment="1">
      <alignment horizontal="center"/>
    </xf>
    <xf numFmtId="167" fontId="0" fillId="6" borderId="27" xfId="49" applyNumberFormat="1" applyFont="1" applyFill="1" applyBorder="1" applyAlignment="1">
      <alignment horizontal="center"/>
    </xf>
    <xf numFmtId="170" fontId="0" fillId="6" borderId="27" xfId="7" applyNumberFormat="1" applyFont="1" applyFill="1" applyBorder="1" applyAlignment="1">
      <alignment horizontal="center"/>
    </xf>
    <xf numFmtId="41" fontId="0" fillId="6" borderId="27" xfId="49" applyFont="1" applyFill="1" applyBorder="1" applyAlignment="1">
      <alignment horizontal="center"/>
    </xf>
    <xf numFmtId="9" fontId="2" fillId="6" borderId="27" xfId="7" applyFont="1" applyFill="1" applyBorder="1" applyAlignment="1">
      <alignment horizontal="center"/>
    </xf>
    <xf numFmtId="167" fontId="2" fillId="0" borderId="32" xfId="49" applyNumberFormat="1" applyFont="1" applyFill="1" applyBorder="1" applyAlignment="1">
      <alignment horizontal="center"/>
    </xf>
    <xf numFmtId="172" fontId="2" fillId="0" borderId="32" xfId="49" applyNumberFormat="1" applyFont="1" applyFill="1" applyBorder="1" applyAlignment="1">
      <alignment horizontal="center"/>
    </xf>
    <xf numFmtId="168" fontId="2" fillId="0" borderId="32" xfId="49" applyNumberFormat="1" applyFont="1" applyFill="1" applyBorder="1" applyAlignment="1">
      <alignment horizontal="center"/>
    </xf>
    <xf numFmtId="171" fontId="2" fillId="0" borderId="32" xfId="49" applyNumberFormat="1" applyFont="1" applyFill="1" applyBorder="1" applyAlignment="1">
      <alignment horizontal="center"/>
    </xf>
    <xf numFmtId="167" fontId="0" fillId="5" borderId="1" xfId="49" applyNumberFormat="1" applyFont="1" applyFill="1" applyBorder="1" applyAlignment="1">
      <alignment horizontal="center"/>
    </xf>
    <xf numFmtId="170" fontId="0" fillId="5" borderId="1" xfId="7" applyNumberFormat="1" applyFont="1" applyFill="1" applyBorder="1" applyAlignment="1">
      <alignment horizontal="center"/>
    </xf>
    <xf numFmtId="41" fontId="0" fillId="5" borderId="1" xfId="49" applyFont="1" applyFill="1" applyBorder="1" applyAlignment="1">
      <alignment horizontal="center"/>
    </xf>
    <xf numFmtId="170" fontId="2" fillId="6" borderId="27" xfId="7" applyNumberFormat="1" applyFont="1" applyFill="1" applyBorder="1" applyAlignment="1">
      <alignment horizontal="center"/>
    </xf>
    <xf numFmtId="167" fontId="0" fillId="6" borderId="1" xfId="49" applyNumberFormat="1" applyFont="1" applyFill="1" applyBorder="1" applyAlignment="1">
      <alignment horizontal="center"/>
    </xf>
    <xf numFmtId="41" fontId="0" fillId="6" borderId="1" xfId="49" applyFont="1" applyFill="1" applyBorder="1" applyAlignment="1">
      <alignment horizontal="center"/>
    </xf>
    <xf numFmtId="9" fontId="2" fillId="6" borderId="1" xfId="7" applyFont="1" applyFill="1" applyBorder="1" applyAlignment="1">
      <alignment horizontal="center"/>
    </xf>
    <xf numFmtId="174" fontId="2" fillId="0" borderId="32" xfId="49" applyNumberFormat="1" applyFont="1" applyFill="1" applyBorder="1" applyAlignment="1">
      <alignment horizontal="center"/>
    </xf>
    <xf numFmtId="174" fontId="2" fillId="5" borderId="1" xfId="49" applyNumberFormat="1" applyFont="1" applyFill="1" applyBorder="1" applyAlignment="1">
      <alignment horizontal="center"/>
    </xf>
    <xf numFmtId="174" fontId="2" fillId="0" borderId="1" xfId="49" applyNumberFormat="1" applyFont="1" applyFill="1" applyBorder="1" applyAlignment="1">
      <alignment horizontal="center"/>
    </xf>
    <xf numFmtId="9" fontId="0" fillId="0" borderId="1" xfId="7" applyFont="1" applyFill="1" applyBorder="1" applyAlignment="1">
      <alignment horizontal="center"/>
    </xf>
    <xf numFmtId="0" fontId="2" fillId="5" borderId="71" xfId="4" applyFill="1" applyBorder="1" applyAlignment="1">
      <alignment horizontal="center" vertical="center"/>
    </xf>
    <xf numFmtId="0" fontId="2" fillId="5" borderId="72" xfId="4" applyFill="1" applyBorder="1" applyAlignment="1">
      <alignment horizontal="center" vertical="center"/>
    </xf>
    <xf numFmtId="170" fontId="0" fillId="6" borderId="1" xfId="7" applyNumberFormat="1" applyFont="1" applyFill="1" applyBorder="1" applyAlignment="1">
      <alignment horizontal="center"/>
    </xf>
    <xf numFmtId="167" fontId="2" fillId="5" borderId="32" xfId="49" applyNumberFormat="1" applyFont="1" applyFill="1" applyBorder="1" applyAlignment="1">
      <alignment horizontal="center"/>
    </xf>
    <xf numFmtId="168" fontId="2" fillId="5" borderId="32" xfId="49" applyNumberFormat="1" applyFont="1" applyFill="1" applyBorder="1" applyAlignment="1">
      <alignment horizontal="center"/>
    </xf>
    <xf numFmtId="41" fontId="2" fillId="5" borderId="32" xfId="49" applyFont="1" applyFill="1" applyBorder="1" applyAlignment="1">
      <alignment horizontal="center"/>
    </xf>
    <xf numFmtId="170" fontId="2" fillId="5" borderId="32" xfId="7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4" fontId="2" fillId="5" borderId="8" xfId="0" applyNumberFormat="1" applyFont="1" applyFill="1" applyBorder="1" applyAlignment="1">
      <alignment horizontal="center"/>
    </xf>
    <xf numFmtId="173" fontId="2" fillId="0" borderId="1" xfId="0" applyNumberFormat="1" applyFont="1" applyBorder="1" applyAlignment="1">
      <alignment horizontal="center"/>
    </xf>
    <xf numFmtId="4" fontId="2" fillId="6" borderId="8" xfId="0" applyNumberFormat="1" applyFont="1" applyFill="1" applyBorder="1" applyAlignment="1">
      <alignment horizontal="center"/>
    </xf>
    <xf numFmtId="175" fontId="0" fillId="0" borderId="1" xfId="0" applyNumberFormat="1" applyBorder="1" applyAlignment="1">
      <alignment horizontal="center"/>
    </xf>
    <xf numFmtId="175" fontId="2" fillId="5" borderId="1" xfId="7" applyNumberFormat="1" applyFont="1" applyFill="1" applyBorder="1" applyAlignment="1">
      <alignment horizontal="center"/>
    </xf>
    <xf numFmtId="175" fontId="2" fillId="5" borderId="1" xfId="0" applyNumberFormat="1" applyFont="1" applyFill="1" applyBorder="1" applyAlignment="1">
      <alignment horizontal="center"/>
    </xf>
    <xf numFmtId="173" fontId="2" fillId="5" borderId="1" xfId="0" applyNumberFormat="1" applyFont="1" applyFill="1" applyBorder="1" applyAlignment="1">
      <alignment horizontal="center"/>
    </xf>
    <xf numFmtId="0" fontId="4" fillId="0" borderId="0" xfId="4" quotePrefix="1" applyFont="1"/>
    <xf numFmtId="175" fontId="0" fillId="5" borderId="1" xfId="0" applyNumberFormat="1" applyFill="1" applyBorder="1" applyAlignment="1">
      <alignment horizontal="center"/>
    </xf>
    <xf numFmtId="173" fontId="2" fillId="0" borderId="1" xfId="0" applyNumberFormat="1" applyFont="1" applyBorder="1" applyAlignment="1">
      <alignment horizontal="center" vertical="center"/>
    </xf>
    <xf numFmtId="2" fontId="31" fillId="0" borderId="0" xfId="0" applyNumberFormat="1" applyFont="1" applyAlignment="1">
      <alignment horizontal="center"/>
    </xf>
    <xf numFmtId="2" fontId="2" fillId="0" borderId="0" xfId="4" applyNumberFormat="1" applyAlignment="1">
      <alignment horizontal="center"/>
    </xf>
    <xf numFmtId="0" fontId="4" fillId="0" borderId="0" xfId="4" applyFont="1" applyAlignment="1">
      <alignment horizontal="center"/>
    </xf>
    <xf numFmtId="167" fontId="0" fillId="0" borderId="1" xfId="49" applyNumberFormat="1" applyFont="1" applyFill="1" applyBorder="1" applyAlignment="1">
      <alignment horizontal="center"/>
    </xf>
    <xf numFmtId="41" fontId="2" fillId="0" borderId="1" xfId="49" applyFont="1" applyFill="1" applyBorder="1" applyAlignment="1">
      <alignment horizontal="center"/>
    </xf>
    <xf numFmtId="41" fontId="0" fillId="0" borderId="1" xfId="49" applyFont="1" applyFill="1" applyBorder="1" applyAlignment="1">
      <alignment horizontal="center"/>
    </xf>
    <xf numFmtId="169" fontId="2" fillId="5" borderId="1" xfId="0" applyNumberFormat="1" applyFont="1" applyFill="1" applyBorder="1" applyAlignment="1">
      <alignment horizontal="center"/>
    </xf>
    <xf numFmtId="169" fontId="2" fillId="5" borderId="8" xfId="0" applyNumberFormat="1" applyFont="1" applyFill="1" applyBorder="1" applyAlignment="1">
      <alignment horizontal="center"/>
    </xf>
    <xf numFmtId="0" fontId="4" fillId="4" borderId="6" xfId="4" applyFont="1" applyFill="1" applyBorder="1" applyAlignment="1">
      <alignment horizontal="center"/>
    </xf>
    <xf numFmtId="0" fontId="4" fillId="4" borderId="6" xfId="4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4" fillId="3" borderId="49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25" fillId="0" borderId="0" xfId="4" applyFont="1" applyAlignment="1">
      <alignment horizontal="center"/>
    </xf>
    <xf numFmtId="0" fontId="4" fillId="4" borderId="49" xfId="0" applyFont="1" applyFill="1" applyBorder="1" applyAlignment="1">
      <alignment horizontal="center" vertical="center"/>
    </xf>
    <xf numFmtId="0" fontId="4" fillId="4" borderId="47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5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</cellXfs>
  <cellStyles count="54">
    <cellStyle name="20% - Énfasis1" xfId="21" builtinId="30" customBuiltin="1"/>
    <cellStyle name="20% - Énfasis2" xfId="24" builtinId="34" customBuiltin="1"/>
    <cellStyle name="20% - Énfasis3" xfId="27" builtinId="38" customBuiltin="1"/>
    <cellStyle name="20% - Énfasis4" xfId="30" builtinId="42" customBuiltin="1"/>
    <cellStyle name="20% - Énfasis5" xfId="33" builtinId="46" customBuiltin="1"/>
    <cellStyle name="20% - Énfasis6" xfId="36" builtinId="50" customBuiltin="1"/>
    <cellStyle name="40% - Énfasis1" xfId="22" builtinId="31" customBuiltin="1"/>
    <cellStyle name="40% - Énfasis2" xfId="25" builtinId="35" customBuiltin="1"/>
    <cellStyle name="40% - Énfasis3" xfId="28" builtinId="39" customBuiltin="1"/>
    <cellStyle name="40% - Énfasis4" xfId="31" builtinId="43" customBuiltin="1"/>
    <cellStyle name="40% - Énfasis5" xfId="34" builtinId="47" customBuiltin="1"/>
    <cellStyle name="40% - Énfasis6" xfId="37" builtinId="51" customBuiltin="1"/>
    <cellStyle name="60% - Énfasis1 2" xfId="39" xr:uid="{FB50919A-97B2-42D3-8C3E-C02A362DCD08}"/>
    <cellStyle name="60% - Énfasis2 2" xfId="40" xr:uid="{51555BEF-2A0B-4845-A462-2185A14F8B3E}"/>
    <cellStyle name="60% - Énfasis3 2" xfId="41" xr:uid="{746D7C86-5876-4DF1-A207-AF973C8CB11F}"/>
    <cellStyle name="60% - Énfasis4 2" xfId="42" xr:uid="{6811D401-08E1-499A-866A-DB25EF754D08}"/>
    <cellStyle name="60% - Énfasis5 2" xfId="43" xr:uid="{0260FC02-14EB-428F-A5A1-503F7DDCD75C}"/>
    <cellStyle name="60% - Énfasis6 2" xfId="44" xr:uid="{31264996-DC35-4B71-ADBA-3E6188E0455A}"/>
    <cellStyle name="A3 297 x 420 mm" xfId="1" xr:uid="{00000000-0005-0000-0000-000000000000}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4" xfId="10" builtinId="19" customBuiltin="1"/>
    <cellStyle name="Énfasis1" xfId="20" builtinId="29" customBuiltin="1"/>
    <cellStyle name="Énfasis2" xfId="23" builtinId="33" customBuiltin="1"/>
    <cellStyle name="Énfasis3" xfId="26" builtinId="37" customBuiltin="1"/>
    <cellStyle name="Énfasis4" xfId="29" builtinId="41" customBuiltin="1"/>
    <cellStyle name="Énfasis5" xfId="32" builtinId="45" customBuiltin="1"/>
    <cellStyle name="Énfasis6" xfId="35" builtinId="49" customBuiltin="1"/>
    <cellStyle name="Entrada" xfId="12" builtinId="20" customBuiltin="1"/>
    <cellStyle name="Hipervínculo" xfId="2" builtinId="8"/>
    <cellStyle name="Hipervínculo 2" xfId="52" xr:uid="{DDA94541-4F78-48E5-9770-7244FDC9B1E2}"/>
    <cellStyle name="Incorrecto" xfId="11" builtinId="27" customBuiltin="1"/>
    <cellStyle name="Millares" xfId="3" builtinId="3"/>
    <cellStyle name="Millares [0]" xfId="49" builtinId="6"/>
    <cellStyle name="Millares [0] 2" xfId="50" xr:uid="{DE8A809F-60DE-4482-9CAD-87ACD16E27E7}"/>
    <cellStyle name="Millares 2" xfId="51" xr:uid="{726C3B65-60B8-4ADE-898B-21349861A045}"/>
    <cellStyle name="Neutral 2" xfId="45" xr:uid="{DA7EEC49-392D-4FB3-A4A2-899B996839A8}"/>
    <cellStyle name="Normal" xfId="0" builtinId="0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4" xfId="38" xr:uid="{42CF5770-9B8F-4275-9EA7-1038B0F00BF3}"/>
    <cellStyle name="Normal 5" xfId="48" xr:uid="{F8FC38F8-84B2-429C-ABE9-980826246824}"/>
    <cellStyle name="Normal 6" xfId="53" xr:uid="{40A1BE61-EDE4-4DBF-ACB4-2C0897E76ED4}"/>
    <cellStyle name="Notas 2" xfId="46" xr:uid="{05C7827E-1A3B-446E-B978-E96C05390223}"/>
    <cellStyle name="Porcentaje" xfId="7" builtinId="5"/>
    <cellStyle name="Salida" xfId="13" builtinId="21" customBuiltin="1"/>
    <cellStyle name="Texto de advertencia" xfId="17" builtinId="11" customBuiltin="1"/>
    <cellStyle name="Texto explicativo" xfId="18" builtinId="53" customBuiltin="1"/>
    <cellStyle name="Título 2" xfId="8" builtinId="17" customBuiltin="1"/>
    <cellStyle name="Título 3" xfId="9" builtinId="18" customBuiltin="1"/>
    <cellStyle name="Título 4" xfId="47" xr:uid="{A513B014-5578-4C84-AB15-61D31E053F46}"/>
    <cellStyle name="Total" xfId="19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742950</xdr:colOff>
      <xdr:row>48</xdr:row>
      <xdr:rowOff>0</xdr:rowOff>
    </xdr:from>
    <xdr:to>
      <xdr:col>17</xdr:col>
      <xdr:colOff>63031</xdr:colOff>
      <xdr:row>51</xdr:row>
      <xdr:rowOff>66576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FA98DC-33D4-46B1-859F-0AB699553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625" y="7772400"/>
          <a:ext cx="2415706" cy="5523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742950</xdr:colOff>
      <xdr:row>12</xdr:row>
      <xdr:rowOff>123825</xdr:rowOff>
    </xdr:from>
    <xdr:ext cx="5563376" cy="628738"/>
    <xdr:pic>
      <xdr:nvPicPr>
        <xdr:cNvPr id="2" name="Imagen 1">
          <a:extLst>
            <a:ext uri="{FF2B5EF4-FFF2-40B4-BE49-F238E27FC236}">
              <a16:creationId xmlns:a16="http://schemas.microsoft.com/office/drawing/2014/main" id="{194028F6-BB95-491A-AFC4-287B58BD1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066925"/>
          <a:ext cx="5563376" cy="62873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21</xdr:row>
      <xdr:rowOff>0</xdr:rowOff>
    </xdr:from>
    <xdr:ext cx="4182059" cy="590632"/>
    <xdr:pic>
      <xdr:nvPicPr>
        <xdr:cNvPr id="3" name="Imagen 2">
          <a:extLst>
            <a:ext uri="{FF2B5EF4-FFF2-40B4-BE49-F238E27FC236}">
              <a16:creationId xmlns:a16="http://schemas.microsoft.com/office/drawing/2014/main" id="{53E7ECAB-5A87-4F83-9FD5-3CB5ECC5B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" y="3400425"/>
          <a:ext cx="4182059" cy="590632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</xdr:row>
      <xdr:rowOff>0</xdr:rowOff>
    </xdr:from>
    <xdr:ext cx="2124371" cy="571580"/>
    <xdr:pic>
      <xdr:nvPicPr>
        <xdr:cNvPr id="4" name="Imagen 3">
          <a:extLst>
            <a:ext uri="{FF2B5EF4-FFF2-40B4-BE49-F238E27FC236}">
              <a16:creationId xmlns:a16="http://schemas.microsoft.com/office/drawing/2014/main" id="{9CCE0C61-C026-4C83-AD39-F14C63B7F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0" y="4533900"/>
          <a:ext cx="2124371" cy="571580"/>
        </a:xfrm>
        <a:prstGeom prst="rect">
          <a:avLst/>
        </a:prstGeom>
      </xdr:spPr>
    </xdr:pic>
    <xdr:clientData/>
  </xdr:oneCellAnchor>
  <xdr:twoCellAnchor editAs="oneCell">
    <xdr:from>
      <xdr:col>0</xdr:col>
      <xdr:colOff>704850</xdr:colOff>
      <xdr:row>3</xdr:row>
      <xdr:rowOff>133350</xdr:rowOff>
    </xdr:from>
    <xdr:to>
      <xdr:col>11</xdr:col>
      <xdr:colOff>734599</xdr:colOff>
      <xdr:row>8</xdr:row>
      <xdr:rowOff>152516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03EABEF-09D9-4ECF-BF76-58E4A06B9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4850" y="619125"/>
          <a:ext cx="8411749" cy="82879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central.cl/" TargetMode="External"/><Relationship Id="rId2" Type="http://schemas.openxmlformats.org/officeDocument/2006/relationships/hyperlink" Target="http://www.bls.gov/" TargetMode="External"/><Relationship Id="rId1" Type="http://schemas.openxmlformats.org/officeDocument/2006/relationships/hyperlink" Target="http://www.ine.c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bls.gov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ne.cl/tarificacion/electricidad/precios-de-nudo-de-corto-plazo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D35"/>
  <sheetViews>
    <sheetView showGridLines="0" tabSelected="1" workbookViewId="0"/>
  </sheetViews>
  <sheetFormatPr baseColWidth="10" defaultRowHeight="12.75" x14ac:dyDescent="0.2"/>
  <cols>
    <col min="1" max="1" width="2.85546875" customWidth="1"/>
    <col min="2" max="2" width="15.42578125" bestFit="1" customWidth="1"/>
    <col min="3" max="3" width="15.28515625" customWidth="1"/>
    <col min="4" max="4" width="61.7109375" bestFit="1" customWidth="1"/>
    <col min="5" max="5" width="2.85546875" customWidth="1"/>
  </cols>
  <sheetData>
    <row r="1" spans="2:4" ht="13.5" thickBot="1" x14ac:dyDescent="0.25"/>
    <row r="2" spans="2:4" ht="13.5" thickBot="1" x14ac:dyDescent="0.25">
      <c r="B2" s="4" t="s">
        <v>21</v>
      </c>
      <c r="C2" s="5" t="s">
        <v>1</v>
      </c>
      <c r="D2" s="6" t="s">
        <v>2</v>
      </c>
    </row>
    <row r="3" spans="2:4" ht="38.25" x14ac:dyDescent="0.2">
      <c r="B3" s="17" t="s">
        <v>6</v>
      </c>
      <c r="C3" s="18" t="s">
        <v>7</v>
      </c>
      <c r="D3" s="129" t="s">
        <v>51</v>
      </c>
    </row>
    <row r="4" spans="2:4" ht="25.5" x14ac:dyDescent="0.2">
      <c r="B4" s="7" t="s">
        <v>0</v>
      </c>
      <c r="C4" s="8" t="s">
        <v>3</v>
      </c>
      <c r="D4" s="13" t="s">
        <v>8</v>
      </c>
    </row>
    <row r="5" spans="2:4" ht="51" x14ac:dyDescent="0.2">
      <c r="B5" s="14" t="s">
        <v>9</v>
      </c>
      <c r="C5" s="8" t="s">
        <v>5</v>
      </c>
      <c r="D5" s="13" t="s">
        <v>52</v>
      </c>
    </row>
    <row r="6" spans="2:4" ht="39" thickBot="1" x14ac:dyDescent="0.25">
      <c r="B6" s="15" t="s">
        <v>4</v>
      </c>
      <c r="C6" s="9" t="s">
        <v>5</v>
      </c>
      <c r="D6" s="16" t="s">
        <v>53</v>
      </c>
    </row>
    <row r="7" spans="2:4" ht="7.5" customHeight="1" x14ac:dyDescent="0.2"/>
    <row r="8" spans="2:4" ht="7.5" customHeight="1" x14ac:dyDescent="0.2"/>
    <row r="9" spans="2:4" x14ac:dyDescent="0.2">
      <c r="B9" s="10" t="s">
        <v>23</v>
      </c>
    </row>
    <row r="10" spans="2:4" x14ac:dyDescent="0.2">
      <c r="B10" s="10" t="s">
        <v>35</v>
      </c>
    </row>
    <row r="11" spans="2:4" x14ac:dyDescent="0.2">
      <c r="B11" s="10" t="s">
        <v>36</v>
      </c>
    </row>
    <row r="12" spans="2:4" x14ac:dyDescent="0.2">
      <c r="B12" s="10" t="s">
        <v>37</v>
      </c>
    </row>
    <row r="13" spans="2:4" x14ac:dyDescent="0.2">
      <c r="B13" s="10" t="s">
        <v>38</v>
      </c>
    </row>
    <row r="14" spans="2:4" x14ac:dyDescent="0.2">
      <c r="B14" s="10" t="s">
        <v>39</v>
      </c>
    </row>
    <row r="15" spans="2:4" x14ac:dyDescent="0.2">
      <c r="B15" s="10" t="s">
        <v>40</v>
      </c>
    </row>
    <row r="16" spans="2:4" x14ac:dyDescent="0.2">
      <c r="B16" s="10" t="s">
        <v>42</v>
      </c>
    </row>
    <row r="17" spans="2:2" x14ac:dyDescent="0.2">
      <c r="B17" s="10" t="s">
        <v>46</v>
      </c>
    </row>
    <row r="18" spans="2:2" x14ac:dyDescent="0.2">
      <c r="B18" s="10" t="s">
        <v>47</v>
      </c>
    </row>
    <row r="19" spans="2:2" x14ac:dyDescent="0.2">
      <c r="B19" s="10" t="s">
        <v>59</v>
      </c>
    </row>
    <row r="20" spans="2:2" x14ac:dyDescent="0.2">
      <c r="B20" s="10" t="s">
        <v>62</v>
      </c>
    </row>
    <row r="21" spans="2:2" x14ac:dyDescent="0.2">
      <c r="B21" s="10" t="s">
        <v>71</v>
      </c>
    </row>
    <row r="22" spans="2:2" x14ac:dyDescent="0.2">
      <c r="B22" s="10" t="s">
        <v>72</v>
      </c>
    </row>
    <row r="23" spans="2:2" x14ac:dyDescent="0.2">
      <c r="B23" s="10" t="s">
        <v>73</v>
      </c>
    </row>
    <row r="24" spans="2:2" x14ac:dyDescent="0.2">
      <c r="B24" s="10" t="s">
        <v>74</v>
      </c>
    </row>
    <row r="25" spans="2:2" x14ac:dyDescent="0.2">
      <c r="B25" s="10" t="s">
        <v>76</v>
      </c>
    </row>
    <row r="26" spans="2:2" x14ac:dyDescent="0.2">
      <c r="B26" s="10" t="s">
        <v>119</v>
      </c>
    </row>
    <row r="27" spans="2:2" x14ac:dyDescent="0.2">
      <c r="B27" s="10" t="s">
        <v>123</v>
      </c>
    </row>
    <row r="28" spans="2:2" x14ac:dyDescent="0.2">
      <c r="B28" s="10" t="s">
        <v>128</v>
      </c>
    </row>
    <row r="29" spans="2:2" x14ac:dyDescent="0.2">
      <c r="B29" s="10" t="s">
        <v>130</v>
      </c>
    </row>
    <row r="30" spans="2:2" x14ac:dyDescent="0.2">
      <c r="B30" s="10" t="s">
        <v>136</v>
      </c>
    </row>
    <row r="31" spans="2:2" x14ac:dyDescent="0.2">
      <c r="B31" s="10" t="s">
        <v>139</v>
      </c>
    </row>
    <row r="32" spans="2:2" x14ac:dyDescent="0.2">
      <c r="B32" s="10" t="s">
        <v>142</v>
      </c>
    </row>
    <row r="33" spans="2:2" x14ac:dyDescent="0.2">
      <c r="B33" s="10" t="s">
        <v>143</v>
      </c>
    </row>
    <row r="34" spans="2:2" x14ac:dyDescent="0.2">
      <c r="B34" s="10" t="s">
        <v>146</v>
      </c>
    </row>
    <row r="35" spans="2:2" x14ac:dyDescent="0.2">
      <c r="B35" s="10" t="s">
        <v>147</v>
      </c>
    </row>
  </sheetData>
  <phoneticPr fontId="0" type="noConversion"/>
  <hyperlinks>
    <hyperlink ref="C4" r:id="rId1" xr:uid="{00000000-0004-0000-0000-000000000000}"/>
    <hyperlink ref="C5" r:id="rId2" xr:uid="{00000000-0004-0000-0000-000001000000}"/>
    <hyperlink ref="C3" r:id="rId3" xr:uid="{00000000-0004-0000-0000-000002000000}"/>
    <hyperlink ref="C6" r:id="rId4" xr:uid="{00000000-0004-0000-0000-000003000000}"/>
  </hyperlinks>
  <pageMargins left="0.75" right="0.75" top="1" bottom="1" header="0" footer="0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9DCE-F815-409D-B2C9-568C1AB29167}">
  <dimension ref="B2:U93"/>
  <sheetViews>
    <sheetView showGridLines="0" workbookViewId="0">
      <pane ySplit="2" topLeftCell="A66" activePane="bottomLeft" state="frozen"/>
      <selection sqref="A1:XFD1048576"/>
      <selection pane="bottomLeft"/>
    </sheetView>
  </sheetViews>
  <sheetFormatPr baseColWidth="10" defaultColWidth="11.42578125" defaultRowHeight="12.75" x14ac:dyDescent="0.2"/>
  <cols>
    <col min="1" max="7" width="11.42578125" style="210"/>
    <col min="8" max="8" width="11" style="210" bestFit="1" customWidth="1"/>
    <col min="9" max="9" width="9.42578125" style="210" bestFit="1" customWidth="1"/>
    <col min="10" max="10" width="16.85546875" style="210" bestFit="1" customWidth="1"/>
    <col min="11" max="11" width="9.42578125" style="210" bestFit="1" customWidth="1"/>
    <col min="12" max="12" width="11.42578125" style="210"/>
    <col min="13" max="13" width="18" style="211" bestFit="1" customWidth="1"/>
    <col min="14" max="15" width="11.42578125" style="210"/>
    <col min="16" max="16" width="12.140625" style="210" bestFit="1" customWidth="1"/>
    <col min="17" max="16384" width="11.42578125" style="210"/>
  </cols>
  <sheetData>
    <row r="2" spans="2:21" x14ac:dyDescent="0.2">
      <c r="B2" s="219" t="s">
        <v>22</v>
      </c>
      <c r="C2" s="219" t="s">
        <v>6</v>
      </c>
      <c r="D2" s="220" t="s">
        <v>0</v>
      </c>
      <c r="E2" s="219" t="s">
        <v>9</v>
      </c>
      <c r="F2" s="219" t="s">
        <v>4</v>
      </c>
      <c r="H2" s="219" t="s">
        <v>17</v>
      </c>
      <c r="I2" s="219" t="s">
        <v>20</v>
      </c>
      <c r="J2" s="219" t="s">
        <v>18</v>
      </c>
      <c r="K2" s="219" t="s">
        <v>19</v>
      </c>
    </row>
    <row r="3" spans="2:21" x14ac:dyDescent="0.2">
      <c r="B3" s="2">
        <v>43466</v>
      </c>
      <c r="C3" s="3">
        <v>677.06</v>
      </c>
      <c r="D3" s="11">
        <v>100.75</v>
      </c>
      <c r="E3" s="19">
        <v>218.9</v>
      </c>
      <c r="F3" s="19">
        <v>199.1</v>
      </c>
      <c r="H3" s="221">
        <f t="shared" ref="H3:H39" si="0">+C3/O$7</f>
        <v>0.87190449821642435</v>
      </c>
      <c r="I3" s="222">
        <f t="shared" ref="I3:I39" si="1">+D3/R$7</f>
        <v>0.97295992274263643</v>
      </c>
      <c r="J3" s="221">
        <f t="shared" ref="J3:J39" si="2">+E3/P$7</f>
        <v>0.98470535312640572</v>
      </c>
      <c r="K3" s="221">
        <f t="shared" ref="K3:K39" si="3">+F3/Q$7</f>
        <v>0.99400898652021963</v>
      </c>
    </row>
    <row r="4" spans="2:21" x14ac:dyDescent="0.2">
      <c r="B4" s="38">
        <v>43497</v>
      </c>
      <c r="C4" s="39">
        <v>656.3</v>
      </c>
      <c r="D4" s="40">
        <v>100.79</v>
      </c>
      <c r="E4" s="41">
        <v>220.3</v>
      </c>
      <c r="F4" s="41">
        <v>199.2</v>
      </c>
      <c r="H4" s="223">
        <f t="shared" si="0"/>
        <v>0.84517018016045742</v>
      </c>
      <c r="I4" s="224">
        <f t="shared" si="1"/>
        <v>0.97334620956059881</v>
      </c>
      <c r="J4" s="223">
        <f t="shared" si="2"/>
        <v>0.99100314889788577</v>
      </c>
      <c r="K4" s="223">
        <f t="shared" si="3"/>
        <v>0.99450823764353458</v>
      </c>
    </row>
    <row r="5" spans="2:21" x14ac:dyDescent="0.2">
      <c r="B5" s="2">
        <v>43525</v>
      </c>
      <c r="C5" s="3">
        <v>667.68</v>
      </c>
      <c r="D5" s="11">
        <v>101.27</v>
      </c>
      <c r="E5" s="19">
        <v>220.4</v>
      </c>
      <c r="F5" s="19">
        <v>200.8</v>
      </c>
      <c r="H5" s="221">
        <f t="shared" si="0"/>
        <v>0.85982511944161844</v>
      </c>
      <c r="I5" s="222">
        <f t="shared" si="1"/>
        <v>0.97798165137614679</v>
      </c>
      <c r="J5" s="221">
        <f t="shared" si="2"/>
        <v>0.99145299145299148</v>
      </c>
      <c r="K5" s="221">
        <f t="shared" si="3"/>
        <v>1.0024962556165751</v>
      </c>
      <c r="O5" s="329" t="s">
        <v>112</v>
      </c>
      <c r="P5" s="329"/>
      <c r="Q5" s="329"/>
      <c r="R5" s="329"/>
      <c r="T5" s="330" t="s">
        <v>111</v>
      </c>
      <c r="U5" s="330"/>
    </row>
    <row r="6" spans="2:21" x14ac:dyDescent="0.2">
      <c r="B6" s="38">
        <v>43556</v>
      </c>
      <c r="C6" s="39">
        <v>667.4</v>
      </c>
      <c r="D6" s="40">
        <v>101.54</v>
      </c>
      <c r="E6" s="41">
        <v>221</v>
      </c>
      <c r="F6" s="41">
        <v>202.1</v>
      </c>
      <c r="H6" s="223">
        <f t="shared" si="0"/>
        <v>0.85946454097072877</v>
      </c>
      <c r="I6" s="224">
        <f t="shared" si="1"/>
        <v>0.9805890873973927</v>
      </c>
      <c r="J6" s="223">
        <f t="shared" si="2"/>
        <v>0.99415204678362568</v>
      </c>
      <c r="K6" s="223">
        <f t="shared" si="3"/>
        <v>1.0089865202196704</v>
      </c>
      <c r="N6" s="219" t="s">
        <v>110</v>
      </c>
      <c r="O6" s="219" t="s">
        <v>109</v>
      </c>
      <c r="P6" s="219" t="s">
        <v>9</v>
      </c>
      <c r="Q6" s="219" t="s">
        <v>4</v>
      </c>
      <c r="R6" s="219" t="s">
        <v>0</v>
      </c>
      <c r="T6" s="251" t="s">
        <v>108</v>
      </c>
      <c r="U6" s="251" t="s">
        <v>107</v>
      </c>
    </row>
    <row r="7" spans="2:21" x14ac:dyDescent="0.2">
      <c r="B7" s="2">
        <v>43586</v>
      </c>
      <c r="C7" s="3">
        <v>692</v>
      </c>
      <c r="D7" s="11">
        <v>102.15</v>
      </c>
      <c r="E7" s="19">
        <v>221.9</v>
      </c>
      <c r="F7" s="19">
        <v>201.7</v>
      </c>
      <c r="H7" s="221">
        <f t="shared" si="0"/>
        <v>0.89114393519889767</v>
      </c>
      <c r="I7" s="222">
        <f t="shared" si="1"/>
        <v>0.98647996137131833</v>
      </c>
      <c r="J7" s="221">
        <f t="shared" si="2"/>
        <v>0.99820062977957713</v>
      </c>
      <c r="K7" s="221">
        <f t="shared" si="3"/>
        <v>1.0069895157264104</v>
      </c>
      <c r="N7" s="218">
        <v>43831</v>
      </c>
      <c r="O7" s="250">
        <v>776.53</v>
      </c>
      <c r="P7" s="250">
        <v>222.3</v>
      </c>
      <c r="Q7" s="250">
        <v>200.3</v>
      </c>
      <c r="R7" s="250">
        <v>103.55</v>
      </c>
      <c r="T7" s="252">
        <v>4</v>
      </c>
      <c r="U7" s="252">
        <v>2</v>
      </c>
    </row>
    <row r="8" spans="2:21" x14ac:dyDescent="0.2">
      <c r="B8" s="38">
        <v>43617</v>
      </c>
      <c r="C8" s="39">
        <v>692.41</v>
      </c>
      <c r="D8" s="40">
        <v>102.2</v>
      </c>
      <c r="E8" s="41">
        <v>222.3</v>
      </c>
      <c r="F8" s="41">
        <v>200.3</v>
      </c>
      <c r="H8" s="223">
        <f t="shared" si="0"/>
        <v>0.89167192510270044</v>
      </c>
      <c r="I8" s="224">
        <f t="shared" si="1"/>
        <v>0.98696281989377121</v>
      </c>
      <c r="J8" s="223">
        <f t="shared" si="2"/>
        <v>1</v>
      </c>
      <c r="K8" s="223">
        <f t="shared" si="3"/>
        <v>1</v>
      </c>
      <c r="N8" s="218">
        <v>45292</v>
      </c>
      <c r="O8" s="250">
        <v>886.61</v>
      </c>
      <c r="P8" s="250">
        <v>256.35500000000002</v>
      </c>
      <c r="Q8" s="250">
        <v>253.86</v>
      </c>
      <c r="R8" s="250">
        <v>101.58</v>
      </c>
      <c r="T8" s="252">
        <v>4</v>
      </c>
      <c r="U8" s="252">
        <v>2</v>
      </c>
    </row>
    <row r="9" spans="2:21" x14ac:dyDescent="0.2">
      <c r="B9" s="194">
        <v>43647</v>
      </c>
      <c r="C9" s="202">
        <v>686.06</v>
      </c>
      <c r="D9" s="203">
        <v>102.43</v>
      </c>
      <c r="E9" s="196">
        <v>222.7</v>
      </c>
      <c r="F9" s="196">
        <v>200.7</v>
      </c>
      <c r="H9" s="225">
        <f t="shared" si="0"/>
        <v>0.88349452049502264</v>
      </c>
      <c r="I9" s="226">
        <f t="shared" si="1"/>
        <v>0.98918396909705464</v>
      </c>
      <c r="J9" s="225">
        <f t="shared" si="2"/>
        <v>1.0017993702204226</v>
      </c>
      <c r="K9" s="225">
        <f t="shared" si="3"/>
        <v>1.00199700449326</v>
      </c>
    </row>
    <row r="10" spans="2:21" x14ac:dyDescent="0.2">
      <c r="B10" s="38">
        <v>43678</v>
      </c>
      <c r="C10" s="39">
        <v>713.7</v>
      </c>
      <c r="D10" s="40">
        <v>102.62</v>
      </c>
      <c r="E10" s="41">
        <v>223.3</v>
      </c>
      <c r="F10" s="41">
        <v>199.2</v>
      </c>
      <c r="H10" s="223">
        <f t="shared" si="0"/>
        <v>0.91908876669285167</v>
      </c>
      <c r="I10" s="224">
        <f t="shared" si="1"/>
        <v>0.99101883148237568</v>
      </c>
      <c r="J10" s="223">
        <f t="shared" si="2"/>
        <v>1.0044984255510572</v>
      </c>
      <c r="K10" s="223">
        <f t="shared" si="3"/>
        <v>0.99450823764353458</v>
      </c>
    </row>
    <row r="11" spans="2:21" x14ac:dyDescent="0.2">
      <c r="B11" s="194">
        <v>43709</v>
      </c>
      <c r="C11" s="202">
        <v>718.44</v>
      </c>
      <c r="D11" s="203">
        <v>102.63</v>
      </c>
      <c r="E11" s="196">
        <v>223.7</v>
      </c>
      <c r="F11" s="196">
        <v>198.4</v>
      </c>
      <c r="H11" s="225">
        <f t="shared" si="0"/>
        <v>0.92519284509291344</v>
      </c>
      <c r="I11" s="226">
        <f t="shared" si="1"/>
        <v>0.9911154031868662</v>
      </c>
      <c r="J11" s="225">
        <f t="shared" si="2"/>
        <v>1.0062977957714798</v>
      </c>
      <c r="K11" s="225">
        <f t="shared" si="3"/>
        <v>0.99051422865701444</v>
      </c>
    </row>
    <row r="12" spans="2:21" x14ac:dyDescent="0.2">
      <c r="B12" s="38">
        <v>43739</v>
      </c>
      <c r="C12" s="39">
        <v>721.03</v>
      </c>
      <c r="D12" s="40">
        <v>103.47</v>
      </c>
      <c r="E12" s="41">
        <v>223.2</v>
      </c>
      <c r="F12" s="41">
        <v>198.6</v>
      </c>
      <c r="H12" s="223">
        <f t="shared" si="0"/>
        <v>0.92852819594864333</v>
      </c>
      <c r="I12" s="224">
        <f t="shared" si="1"/>
        <v>0.99922742636407536</v>
      </c>
      <c r="J12" s="223">
        <f t="shared" si="2"/>
        <v>1.0040485829959513</v>
      </c>
      <c r="K12" s="223">
        <f t="shared" si="3"/>
        <v>0.99151273090364445</v>
      </c>
    </row>
    <row r="13" spans="2:21" x14ac:dyDescent="0.2">
      <c r="B13" s="2">
        <v>43770</v>
      </c>
      <c r="C13" s="3">
        <v>776.53</v>
      </c>
      <c r="D13" s="11">
        <v>103.55</v>
      </c>
      <c r="E13" s="19">
        <v>223.8</v>
      </c>
      <c r="F13" s="19">
        <v>199</v>
      </c>
      <c r="H13" s="221">
        <f t="shared" si="0"/>
        <v>1</v>
      </c>
      <c r="I13" s="222">
        <f t="shared" si="1"/>
        <v>1</v>
      </c>
      <c r="J13" s="221">
        <f t="shared" si="2"/>
        <v>1.0067476383265856</v>
      </c>
      <c r="K13" s="221">
        <f t="shared" si="3"/>
        <v>0.99350973539690457</v>
      </c>
    </row>
    <row r="14" spans="2:21" x14ac:dyDescent="0.2">
      <c r="B14" s="38">
        <v>43800</v>
      </c>
      <c r="C14" s="39">
        <v>770.39</v>
      </c>
      <c r="D14" s="40">
        <v>103.66</v>
      </c>
      <c r="E14" s="41">
        <v>224.9</v>
      </c>
      <c r="F14" s="41">
        <v>199</v>
      </c>
      <c r="H14" s="223">
        <f t="shared" si="0"/>
        <v>0.99209302924548959</v>
      </c>
      <c r="I14" s="224">
        <f t="shared" si="1"/>
        <v>1.0010622887493965</v>
      </c>
      <c r="J14" s="223">
        <f t="shared" si="2"/>
        <v>1.0116959064327484</v>
      </c>
      <c r="K14" s="223">
        <f t="shared" si="3"/>
        <v>0.99350973539690457</v>
      </c>
    </row>
    <row r="15" spans="2:21" x14ac:dyDescent="0.2">
      <c r="B15" s="2">
        <v>43831</v>
      </c>
      <c r="C15" s="3">
        <v>772.65</v>
      </c>
      <c r="D15" s="11">
        <v>104.24</v>
      </c>
      <c r="E15" s="19">
        <v>226.2</v>
      </c>
      <c r="F15" s="19">
        <v>199.3</v>
      </c>
      <c r="H15" s="221">
        <f t="shared" si="0"/>
        <v>0.99500341261767089</v>
      </c>
      <c r="I15" s="222">
        <f t="shared" si="1"/>
        <v>1.0066634476098504</v>
      </c>
      <c r="J15" s="221">
        <f t="shared" si="2"/>
        <v>1.0175438596491226</v>
      </c>
      <c r="K15" s="221">
        <f t="shared" si="3"/>
        <v>0.99500748876684975</v>
      </c>
    </row>
    <row r="16" spans="2:21" x14ac:dyDescent="0.2">
      <c r="B16" s="38">
        <v>43862</v>
      </c>
      <c r="C16" s="39">
        <v>796.38</v>
      </c>
      <c r="D16" s="40">
        <v>104.71</v>
      </c>
      <c r="E16" s="41">
        <v>226.8</v>
      </c>
      <c r="F16" s="41">
        <v>196.7</v>
      </c>
      <c r="H16" s="223">
        <f t="shared" si="0"/>
        <v>1.0255624380255755</v>
      </c>
      <c r="I16" s="224">
        <f t="shared" si="1"/>
        <v>1.0112023177209077</v>
      </c>
      <c r="J16" s="223">
        <f t="shared" si="2"/>
        <v>1.0202429149797572</v>
      </c>
      <c r="K16" s="223">
        <f t="shared" si="3"/>
        <v>0.98202695956065889</v>
      </c>
    </row>
    <row r="17" spans="2:15" x14ac:dyDescent="0.2">
      <c r="B17" s="2">
        <v>43891</v>
      </c>
      <c r="C17" s="3">
        <v>839.38</v>
      </c>
      <c r="D17" s="11">
        <v>105.06</v>
      </c>
      <c r="E17" s="19">
        <v>227.2</v>
      </c>
      <c r="F17" s="19">
        <v>193.1</v>
      </c>
      <c r="H17" s="221">
        <f t="shared" si="0"/>
        <v>1.080936988912212</v>
      </c>
      <c r="I17" s="222">
        <f t="shared" si="1"/>
        <v>1.0145823273780783</v>
      </c>
      <c r="J17" s="221">
        <f t="shared" si="2"/>
        <v>1.0220422852001798</v>
      </c>
      <c r="K17" s="221">
        <f t="shared" si="3"/>
        <v>0.96405391912131799</v>
      </c>
    </row>
    <row r="18" spans="2:15" x14ac:dyDescent="0.2">
      <c r="B18" s="38">
        <v>43922</v>
      </c>
      <c r="C18" s="39">
        <v>853.38</v>
      </c>
      <c r="D18" s="40">
        <v>105.01</v>
      </c>
      <c r="E18" s="41">
        <v>227.2</v>
      </c>
      <c r="F18" s="41">
        <v>185.5</v>
      </c>
      <c r="H18" s="223">
        <f t="shared" si="0"/>
        <v>1.0989659124566984</v>
      </c>
      <c r="I18" s="224">
        <f t="shared" si="1"/>
        <v>1.0140994688556253</v>
      </c>
      <c r="J18" s="223">
        <f t="shared" si="2"/>
        <v>1.0220422852001798</v>
      </c>
      <c r="K18" s="223">
        <f t="shared" si="3"/>
        <v>0.92611083374937586</v>
      </c>
    </row>
    <row r="19" spans="2:15" x14ac:dyDescent="0.2">
      <c r="B19" s="2">
        <v>43952</v>
      </c>
      <c r="C19" s="3">
        <v>821.81</v>
      </c>
      <c r="D19" s="11">
        <v>104.96</v>
      </c>
      <c r="E19" s="19">
        <v>227.7</v>
      </c>
      <c r="F19" s="19">
        <v>188.6</v>
      </c>
      <c r="H19" s="221">
        <f t="shared" si="0"/>
        <v>1.0583106898638817</v>
      </c>
      <c r="I19" s="222">
        <f t="shared" si="1"/>
        <v>1.0136166103331723</v>
      </c>
      <c r="J19" s="221">
        <f t="shared" si="2"/>
        <v>1.0242914979757085</v>
      </c>
      <c r="K19" s="221">
        <f t="shared" si="3"/>
        <v>0.94158761857214168</v>
      </c>
    </row>
    <row r="20" spans="2:15" x14ac:dyDescent="0.2">
      <c r="B20" s="38">
        <v>43983</v>
      </c>
      <c r="C20" s="39">
        <v>793.72</v>
      </c>
      <c r="D20" s="40">
        <v>104.89</v>
      </c>
      <c r="E20" s="41">
        <v>229.3</v>
      </c>
      <c r="F20" s="41">
        <v>191.2</v>
      </c>
      <c r="H20" s="223">
        <f t="shared" si="0"/>
        <v>1.022136942552123</v>
      </c>
      <c r="I20" s="224">
        <f t="shared" si="1"/>
        <v>1.0129406084017383</v>
      </c>
      <c r="J20" s="223">
        <f t="shared" si="2"/>
        <v>1.0314889788574</v>
      </c>
      <c r="K20" s="223">
        <f t="shared" si="3"/>
        <v>0.95456814777833243</v>
      </c>
    </row>
    <row r="21" spans="2:15" x14ac:dyDescent="0.2">
      <c r="B21" s="2">
        <v>44013</v>
      </c>
      <c r="C21" s="3">
        <v>784.73</v>
      </c>
      <c r="D21" s="11">
        <v>104.99</v>
      </c>
      <c r="E21" s="19">
        <v>229.8</v>
      </c>
      <c r="F21" s="19">
        <v>193</v>
      </c>
      <c r="H21" s="221">
        <f t="shared" si="0"/>
        <v>1.0105597980760563</v>
      </c>
      <c r="I21" s="222">
        <f t="shared" si="1"/>
        <v>1.0139063254466441</v>
      </c>
      <c r="J21" s="221">
        <f t="shared" si="2"/>
        <v>1.0337381916329285</v>
      </c>
      <c r="K21" s="221">
        <f t="shared" si="3"/>
        <v>0.96355466799800293</v>
      </c>
    </row>
    <row r="22" spans="2:15" x14ac:dyDescent="0.2">
      <c r="B22" s="38">
        <v>44044</v>
      </c>
      <c r="C22" s="39">
        <v>784.66</v>
      </c>
      <c r="D22" s="40">
        <v>105.13</v>
      </c>
      <c r="E22" s="41">
        <v>229.3</v>
      </c>
      <c r="F22" s="41">
        <v>194.3</v>
      </c>
      <c r="H22" s="223">
        <f t="shared" si="0"/>
        <v>1.0104696534583339</v>
      </c>
      <c r="I22" s="224">
        <f t="shared" si="1"/>
        <v>1.0152583293095123</v>
      </c>
      <c r="J22" s="223">
        <f t="shared" si="2"/>
        <v>1.0314889788574</v>
      </c>
      <c r="K22" s="223">
        <f t="shared" si="3"/>
        <v>0.97004493260109836</v>
      </c>
    </row>
    <row r="23" spans="2:15" x14ac:dyDescent="0.2">
      <c r="B23" s="2">
        <v>44075</v>
      </c>
      <c r="C23" s="3">
        <v>773.4</v>
      </c>
      <c r="D23" s="11">
        <v>105.8</v>
      </c>
      <c r="E23" s="19">
        <v>229.6</v>
      </c>
      <c r="F23" s="19">
        <v>195.5</v>
      </c>
      <c r="H23" s="221">
        <f t="shared" si="0"/>
        <v>0.99596924780755414</v>
      </c>
      <c r="I23" s="222">
        <f t="shared" si="1"/>
        <v>1.0217286335103815</v>
      </c>
      <c r="J23" s="221">
        <f t="shared" si="2"/>
        <v>1.032838506522717</v>
      </c>
      <c r="K23" s="221">
        <f t="shared" si="3"/>
        <v>0.97603594608087862</v>
      </c>
    </row>
    <row r="24" spans="2:15" x14ac:dyDescent="0.2">
      <c r="B24" s="38">
        <v>44105</v>
      </c>
      <c r="C24" s="39">
        <v>788.27</v>
      </c>
      <c r="D24" s="40">
        <v>106.52</v>
      </c>
      <c r="E24" s="41">
        <v>229.9</v>
      </c>
      <c r="F24" s="41">
        <v>196.5</v>
      </c>
      <c r="H24" s="223">
        <f t="shared" si="0"/>
        <v>1.0151185401723051</v>
      </c>
      <c r="I24" s="224">
        <f t="shared" si="1"/>
        <v>1.0286817962337036</v>
      </c>
      <c r="J24" s="223">
        <f t="shared" si="2"/>
        <v>1.0341880341880341</v>
      </c>
      <c r="K24" s="223">
        <f t="shared" si="3"/>
        <v>0.98102845731402888</v>
      </c>
      <c r="O24" s="231"/>
    </row>
    <row r="25" spans="2:15" x14ac:dyDescent="0.2">
      <c r="B25" s="2">
        <v>44136</v>
      </c>
      <c r="C25" s="3">
        <v>762.88</v>
      </c>
      <c r="D25" s="11">
        <v>106.38</v>
      </c>
      <c r="E25" s="19">
        <v>230.5</v>
      </c>
      <c r="F25" s="19">
        <v>198.3</v>
      </c>
      <c r="H25" s="221">
        <f t="shared" si="0"/>
        <v>0.98242179954412578</v>
      </c>
      <c r="I25" s="222">
        <f t="shared" si="1"/>
        <v>1.0273297923708353</v>
      </c>
      <c r="J25" s="221">
        <f t="shared" si="2"/>
        <v>1.0368870895186684</v>
      </c>
      <c r="K25" s="221">
        <f t="shared" si="3"/>
        <v>0.99001497753369949</v>
      </c>
      <c r="O25" s="231"/>
    </row>
    <row r="26" spans="2:15" x14ac:dyDescent="0.2">
      <c r="B26" s="38">
        <v>44166</v>
      </c>
      <c r="C26" s="39">
        <v>734.73</v>
      </c>
      <c r="D26" s="40">
        <v>106.74</v>
      </c>
      <c r="E26" s="41">
        <v>230.9</v>
      </c>
      <c r="F26" s="41">
        <v>200.5</v>
      </c>
      <c r="H26" s="223">
        <f t="shared" si="0"/>
        <v>0.94617078541717647</v>
      </c>
      <c r="I26" s="224">
        <f t="shared" si="1"/>
        <v>1.0308063737324964</v>
      </c>
      <c r="J26" s="223">
        <f t="shared" si="2"/>
        <v>1.0386864597390912</v>
      </c>
      <c r="K26" s="223">
        <f t="shared" si="3"/>
        <v>1.0009985022466299</v>
      </c>
      <c r="O26" s="231"/>
    </row>
    <row r="27" spans="2:15" x14ac:dyDescent="0.2">
      <c r="B27" s="2">
        <v>44197</v>
      </c>
      <c r="C27" s="3">
        <v>723.56</v>
      </c>
      <c r="D27" s="11">
        <v>107.49</v>
      </c>
      <c r="E27" s="19">
        <v>231.2</v>
      </c>
      <c r="F27" s="19">
        <v>204.8</v>
      </c>
      <c r="H27" s="221">
        <f t="shared" si="0"/>
        <v>0.93178627998918262</v>
      </c>
      <c r="I27" s="222">
        <f t="shared" si="1"/>
        <v>1.0380492515692903</v>
      </c>
      <c r="J27" s="221">
        <f t="shared" si="2"/>
        <v>1.0400359874044083</v>
      </c>
      <c r="K27" s="221">
        <f t="shared" si="3"/>
        <v>1.0224663005491763</v>
      </c>
      <c r="O27" s="231"/>
    </row>
    <row r="28" spans="2:15" x14ac:dyDescent="0.2">
      <c r="B28" s="38">
        <v>44228</v>
      </c>
      <c r="C28" s="39">
        <v>722.63</v>
      </c>
      <c r="D28" s="40">
        <v>107.69</v>
      </c>
      <c r="E28" s="41">
        <v>231.7</v>
      </c>
      <c r="F28" s="41">
        <v>210.6</v>
      </c>
      <c r="H28" s="223">
        <f t="shared" si="0"/>
        <v>0.93058864435372746</v>
      </c>
      <c r="I28" s="224">
        <f t="shared" si="1"/>
        <v>1.0399806856591018</v>
      </c>
      <c r="J28" s="223">
        <f t="shared" si="2"/>
        <v>1.042285200179937</v>
      </c>
      <c r="K28" s="223">
        <f t="shared" si="3"/>
        <v>1.0514228657014477</v>
      </c>
      <c r="O28" s="231"/>
    </row>
    <row r="29" spans="2:15" x14ac:dyDescent="0.2">
      <c r="B29" s="2">
        <v>44256</v>
      </c>
      <c r="C29" s="3">
        <v>726.37</v>
      </c>
      <c r="D29" s="11">
        <v>108.09</v>
      </c>
      <c r="E29" s="19">
        <v>232.1</v>
      </c>
      <c r="F29" s="19">
        <v>215</v>
      </c>
      <c r="H29" s="221">
        <f t="shared" si="0"/>
        <v>0.93540494250061168</v>
      </c>
      <c r="I29" s="222">
        <f t="shared" si="1"/>
        <v>1.0438435538387254</v>
      </c>
      <c r="J29" s="221">
        <f t="shared" si="2"/>
        <v>1.0440845704003598</v>
      </c>
      <c r="K29" s="221">
        <f t="shared" si="3"/>
        <v>1.073389915127309</v>
      </c>
      <c r="O29" s="231"/>
    </row>
    <row r="30" spans="2:15" x14ac:dyDescent="0.2">
      <c r="B30" s="38">
        <v>44287</v>
      </c>
      <c r="C30" s="39">
        <v>707.85</v>
      </c>
      <c r="D30" s="40">
        <v>108.5</v>
      </c>
      <c r="E30" s="41">
        <v>232.4</v>
      </c>
      <c r="F30" s="41">
        <v>217.9</v>
      </c>
      <c r="H30" s="223">
        <f t="shared" si="0"/>
        <v>0.9115552522117627</v>
      </c>
      <c r="I30" s="224">
        <f t="shared" si="1"/>
        <v>1.0478029937228392</v>
      </c>
      <c r="J30" s="223">
        <f t="shared" si="2"/>
        <v>1.0454340980656769</v>
      </c>
      <c r="K30" s="223">
        <f t="shared" si="3"/>
        <v>1.0878681977034448</v>
      </c>
      <c r="O30" s="231"/>
    </row>
    <row r="31" spans="2:15" x14ac:dyDescent="0.2">
      <c r="B31" s="2">
        <v>44317</v>
      </c>
      <c r="C31" s="3">
        <v>712.26</v>
      </c>
      <c r="D31" s="11">
        <v>108.79</v>
      </c>
      <c r="E31" s="19">
        <v>234.6</v>
      </c>
      <c r="F31" s="19">
        <v>224.9</v>
      </c>
      <c r="H31" s="221">
        <f t="shared" si="0"/>
        <v>0.91723436312827578</v>
      </c>
      <c r="I31" s="222">
        <f t="shared" si="1"/>
        <v>1.0506035731530663</v>
      </c>
      <c r="J31" s="221">
        <f t="shared" si="2"/>
        <v>1.0553306342780027</v>
      </c>
      <c r="K31" s="221">
        <f t="shared" si="3"/>
        <v>1.1228157763354967</v>
      </c>
      <c r="O31" s="231"/>
    </row>
    <row r="32" spans="2:15" x14ac:dyDescent="0.2">
      <c r="B32" s="38">
        <v>44348</v>
      </c>
      <c r="C32" s="39">
        <v>726.54</v>
      </c>
      <c r="D32" s="40">
        <v>108.88</v>
      </c>
      <c r="E32" s="41">
        <v>234.3</v>
      </c>
      <c r="F32" s="41">
        <v>228.9</v>
      </c>
      <c r="H32" s="223">
        <f t="shared" si="0"/>
        <v>0.93562386514365192</v>
      </c>
      <c r="I32" s="224">
        <f t="shared" si="1"/>
        <v>1.0514727184934813</v>
      </c>
      <c r="J32" s="223">
        <f t="shared" si="2"/>
        <v>1.0539811066126856</v>
      </c>
      <c r="K32" s="223">
        <f t="shared" si="3"/>
        <v>1.1427858212680979</v>
      </c>
      <c r="O32" s="231"/>
    </row>
    <row r="33" spans="2:15" x14ac:dyDescent="0.2">
      <c r="B33" s="2">
        <v>44378</v>
      </c>
      <c r="C33" s="3">
        <v>750.44</v>
      </c>
      <c r="D33" s="11">
        <v>109.76</v>
      </c>
      <c r="E33" s="266">
        <v>234.59200000000001</v>
      </c>
      <c r="F33" s="266">
        <v>231.85</v>
      </c>
      <c r="H33" s="221">
        <f t="shared" si="0"/>
        <v>0.96640181319459662</v>
      </c>
      <c r="I33" s="222">
        <f t="shared" si="1"/>
        <v>1.059971028488653</v>
      </c>
      <c r="J33" s="221">
        <f t="shared" si="2"/>
        <v>1.0552946468735942</v>
      </c>
      <c r="K33" s="221">
        <f t="shared" si="3"/>
        <v>1.157513729405891</v>
      </c>
      <c r="O33" s="231"/>
    </row>
    <row r="34" spans="2:15" x14ac:dyDescent="0.2">
      <c r="B34" s="38">
        <v>44409</v>
      </c>
      <c r="C34" s="39">
        <v>779.83</v>
      </c>
      <c r="D34" s="40">
        <v>110.15</v>
      </c>
      <c r="E34" s="267">
        <v>234.351</v>
      </c>
      <c r="F34" s="267">
        <v>233.41499999999999</v>
      </c>
      <c r="H34" s="223">
        <f t="shared" si="0"/>
        <v>1.0042496748354861</v>
      </c>
      <c r="I34" s="224">
        <f t="shared" si="1"/>
        <v>1.0637373249637856</v>
      </c>
      <c r="J34" s="223">
        <f t="shared" si="2"/>
        <v>1.0542105263157895</v>
      </c>
      <c r="K34" s="223">
        <f t="shared" si="3"/>
        <v>1.1653270094857713</v>
      </c>
      <c r="O34" s="231"/>
    </row>
    <row r="35" spans="2:15" x14ac:dyDescent="0.2">
      <c r="B35" s="2">
        <v>44440</v>
      </c>
      <c r="C35" s="3">
        <v>783.63</v>
      </c>
      <c r="D35" s="11">
        <v>111.45</v>
      </c>
      <c r="E35" s="266">
        <v>236.167</v>
      </c>
      <c r="F35" s="266">
        <v>235.678</v>
      </c>
      <c r="H35" s="221">
        <f t="shared" si="0"/>
        <v>1.009143239797561</v>
      </c>
      <c r="I35" s="222">
        <f t="shared" si="1"/>
        <v>1.0762916465475616</v>
      </c>
      <c r="J35" s="221">
        <f t="shared" si="2"/>
        <v>1.0623796671165091</v>
      </c>
      <c r="K35" s="221">
        <f t="shared" si="3"/>
        <v>1.1766250624063903</v>
      </c>
      <c r="O35" s="231"/>
    </row>
    <row r="36" spans="2:15" x14ac:dyDescent="0.2">
      <c r="B36" s="38">
        <v>44470</v>
      </c>
      <c r="C36" s="39">
        <v>813.95</v>
      </c>
      <c r="D36" s="40">
        <v>112.94</v>
      </c>
      <c r="E36" s="267">
        <v>236.761</v>
      </c>
      <c r="F36" s="267">
        <v>240.465</v>
      </c>
      <c r="H36" s="223">
        <f t="shared" si="0"/>
        <v>1.0481887370739058</v>
      </c>
      <c r="I36" s="224">
        <f t="shared" si="1"/>
        <v>1.0906808305166587</v>
      </c>
      <c r="J36" s="223">
        <f t="shared" si="2"/>
        <v>1.0650517318938371</v>
      </c>
      <c r="K36" s="223">
        <f t="shared" si="3"/>
        <v>1.2005242136794807</v>
      </c>
      <c r="O36" s="231"/>
    </row>
    <row r="37" spans="2:15" x14ac:dyDescent="0.2">
      <c r="B37" s="2">
        <v>44501</v>
      </c>
      <c r="C37" s="3">
        <v>812.62</v>
      </c>
      <c r="D37" s="11">
        <v>113.51</v>
      </c>
      <c r="E37" s="266">
        <v>237.08600000000001</v>
      </c>
      <c r="F37" s="266">
        <v>243.28700000000001</v>
      </c>
      <c r="H37" s="221">
        <f t="shared" si="0"/>
        <v>1.0464759893371796</v>
      </c>
      <c r="I37" s="222">
        <f t="shared" si="1"/>
        <v>1.096185417672622</v>
      </c>
      <c r="J37" s="221">
        <f t="shared" si="2"/>
        <v>1.0665137201979307</v>
      </c>
      <c r="K37" s="221">
        <f t="shared" si="3"/>
        <v>1.2146130803794308</v>
      </c>
      <c r="O37" s="231"/>
    </row>
    <row r="38" spans="2:15" x14ac:dyDescent="0.2">
      <c r="B38" s="38">
        <v>44531</v>
      </c>
      <c r="C38" s="39">
        <v>849.12</v>
      </c>
      <c r="D38" s="40">
        <v>114.39</v>
      </c>
      <c r="E38" s="267">
        <v>237.66900000000001</v>
      </c>
      <c r="F38" s="267">
        <v>241.33799999999999</v>
      </c>
      <c r="H38" s="223">
        <f t="shared" si="0"/>
        <v>1.0934799685781618</v>
      </c>
      <c r="I38" s="224">
        <f t="shared" si="1"/>
        <v>1.1046837276677934</v>
      </c>
      <c r="J38" s="223">
        <f t="shared" si="2"/>
        <v>1.0691363022941971</v>
      </c>
      <c r="K38" s="223">
        <f t="shared" si="3"/>
        <v>1.2048826759860209</v>
      </c>
      <c r="O38" s="231"/>
    </row>
    <row r="39" spans="2:15" x14ac:dyDescent="0.2">
      <c r="B39" s="2">
        <v>44562</v>
      </c>
      <c r="C39" s="3">
        <v>822.05</v>
      </c>
      <c r="D39" s="11">
        <v>115.77</v>
      </c>
      <c r="E39" s="266">
        <v>239.96700000000001</v>
      </c>
      <c r="F39" s="266">
        <v>246.453</v>
      </c>
      <c r="H39" s="221">
        <f t="shared" si="0"/>
        <v>1.0586197571246443</v>
      </c>
      <c r="I39" s="222">
        <f t="shared" si="1"/>
        <v>1.118010622887494</v>
      </c>
      <c r="J39" s="221">
        <f t="shared" si="2"/>
        <v>1.0794736842105264</v>
      </c>
      <c r="K39" s="221">
        <f t="shared" si="3"/>
        <v>1.2304193709435847</v>
      </c>
    </row>
    <row r="40" spans="2:15" x14ac:dyDescent="0.2">
      <c r="B40" s="38">
        <v>44593</v>
      </c>
      <c r="C40" s="39">
        <v>807.07</v>
      </c>
      <c r="D40" s="40">
        <v>116.1</v>
      </c>
      <c r="E40" s="267">
        <v>239.23699999999999</v>
      </c>
      <c r="F40" s="267">
        <v>252.66</v>
      </c>
      <c r="H40" s="223">
        <f t="shared" ref="H40:H41" si="4">+C40/O$7</f>
        <v>1.039328808932044</v>
      </c>
      <c r="I40" s="224">
        <f t="shared" ref="I40:I41" si="5">+D40/R$7</f>
        <v>1.1211974891356833</v>
      </c>
      <c r="J40" s="223">
        <f t="shared" ref="J40:J41" si="6">+E40/P$7</f>
        <v>1.0761898335582545</v>
      </c>
      <c r="K40" s="223">
        <f t="shared" ref="K40:K41" si="7">+F40/Q$7</f>
        <v>1.2614078881677482</v>
      </c>
    </row>
    <row r="41" spans="2:15" x14ac:dyDescent="0.2">
      <c r="B41" s="2">
        <v>44621</v>
      </c>
      <c r="C41" s="3">
        <v>799.19</v>
      </c>
      <c r="D41" s="11">
        <v>118.26</v>
      </c>
      <c r="E41" s="266">
        <v>241.803</v>
      </c>
      <c r="F41" s="266">
        <v>260.01400000000001</v>
      </c>
      <c r="H41" s="221">
        <f t="shared" si="4"/>
        <v>1.0291811005370044</v>
      </c>
      <c r="I41" s="222">
        <f t="shared" si="5"/>
        <v>1.1420569773056495</v>
      </c>
      <c r="J41" s="221">
        <f t="shared" si="6"/>
        <v>1.0877327935222671</v>
      </c>
      <c r="K41" s="221">
        <f t="shared" si="7"/>
        <v>1.2981228157763354</v>
      </c>
    </row>
    <row r="42" spans="2:15" x14ac:dyDescent="0.2">
      <c r="B42" s="38">
        <v>44652</v>
      </c>
      <c r="C42" s="39">
        <v>815.12</v>
      </c>
      <c r="D42" s="40">
        <v>119.91</v>
      </c>
      <c r="E42" s="267">
        <v>247.43899999999999</v>
      </c>
      <c r="F42" s="267">
        <v>265.31</v>
      </c>
      <c r="H42" s="223">
        <f t="shared" ref="H42" si="8">+C42/O$7</f>
        <v>1.0496954399701235</v>
      </c>
      <c r="I42" s="224">
        <f t="shared" ref="I42" si="9">+D42/R$7</f>
        <v>1.1579913085465958</v>
      </c>
      <c r="J42" s="223">
        <f t="shared" ref="J42" si="10">+E42/P$7</f>
        <v>1.1130859199280252</v>
      </c>
      <c r="K42" s="223">
        <f t="shared" ref="K42" si="11">+F42/Q$7</f>
        <v>1.3245631552670993</v>
      </c>
    </row>
    <row r="43" spans="2:15" x14ac:dyDescent="0.2">
      <c r="B43" s="2">
        <v>44682</v>
      </c>
      <c r="C43" s="3">
        <v>849.39</v>
      </c>
      <c r="D43" s="11">
        <v>121.35000000000001</v>
      </c>
      <c r="E43" s="266">
        <v>247.69300000000001</v>
      </c>
      <c r="F43" s="266">
        <v>273.25099999999998</v>
      </c>
      <c r="H43" s="221">
        <f t="shared" ref="H43:H45" si="12">+C43/O$7</f>
        <v>1.0938276692465199</v>
      </c>
      <c r="I43" s="222">
        <f t="shared" ref="I43:I45" si="13">+D43/R$7</f>
        <v>1.1718976339932401</v>
      </c>
      <c r="J43" s="221">
        <f t="shared" ref="J43:J45" si="14">+E43/P$7</f>
        <v>1.1142285200179938</v>
      </c>
      <c r="K43" s="221">
        <f t="shared" ref="K43:K45" si="15">+F43/Q$7</f>
        <v>1.3642086869695456</v>
      </c>
    </row>
    <row r="44" spans="2:15" x14ac:dyDescent="0.2">
      <c r="B44" s="38">
        <v>44713</v>
      </c>
      <c r="C44" s="39">
        <v>857.77</v>
      </c>
      <c r="D44" s="40">
        <v>122.48</v>
      </c>
      <c r="E44" s="267">
        <v>248.535</v>
      </c>
      <c r="F44" s="267">
        <v>280.25099999999998</v>
      </c>
      <c r="H44" s="223">
        <f t="shared" si="12"/>
        <v>1.1046192677681481</v>
      </c>
      <c r="I44" s="224">
        <f t="shared" si="13"/>
        <v>1.1828102366006761</v>
      </c>
      <c r="J44" s="223">
        <f t="shared" si="14"/>
        <v>1.1180161943319837</v>
      </c>
      <c r="K44" s="223">
        <f t="shared" si="15"/>
        <v>1.3991562656015974</v>
      </c>
    </row>
    <row r="45" spans="2:15" x14ac:dyDescent="0.2">
      <c r="B45" s="2">
        <v>44743</v>
      </c>
      <c r="C45" s="3">
        <v>953.71</v>
      </c>
      <c r="D45" s="11">
        <v>124.16</v>
      </c>
      <c r="E45" s="266">
        <v>248.31200000000001</v>
      </c>
      <c r="F45" s="266">
        <v>272.274</v>
      </c>
      <c r="H45" s="221">
        <f t="shared" si="12"/>
        <v>1.2281689052580069</v>
      </c>
      <c r="I45" s="222">
        <f t="shared" si="13"/>
        <v>1.1990342829550942</v>
      </c>
      <c r="J45" s="221">
        <f t="shared" si="14"/>
        <v>1.1170130454340981</v>
      </c>
      <c r="K45" s="221">
        <f t="shared" si="15"/>
        <v>1.3593310034947579</v>
      </c>
    </row>
    <row r="46" spans="2:15" x14ac:dyDescent="0.2">
      <c r="B46" s="38">
        <v>44774</v>
      </c>
      <c r="C46" s="39">
        <v>904.35</v>
      </c>
      <c r="D46" s="40">
        <v>125.67</v>
      </c>
      <c r="E46" s="267">
        <v>246.82900000000001</v>
      </c>
      <c r="F46" s="267">
        <v>269.54599999999999</v>
      </c>
      <c r="H46" s="223">
        <f t="shared" ref="H46:H48" si="16">+C46/O$7</f>
        <v>1.1646040719611606</v>
      </c>
      <c r="I46" s="224">
        <f t="shared" ref="I46:I48" si="17">+D46/R$7</f>
        <v>1.2136166103331725</v>
      </c>
      <c r="J46" s="223">
        <f t="shared" ref="J46:J48" si="18">+E46/P$7</f>
        <v>1.1103418803418803</v>
      </c>
      <c r="K46" s="223">
        <f t="shared" ref="K46:K48" si="19">+F46/Q$7</f>
        <v>1.3457114328507238</v>
      </c>
    </row>
    <row r="47" spans="2:15" x14ac:dyDescent="0.2">
      <c r="B47" s="2">
        <v>44805</v>
      </c>
      <c r="C47" s="3">
        <v>921.01</v>
      </c>
      <c r="D47" s="11">
        <v>126.75</v>
      </c>
      <c r="E47" s="312">
        <v>245.03399999999999</v>
      </c>
      <c r="F47" s="312">
        <v>267.89800000000002</v>
      </c>
      <c r="H47" s="221">
        <f t="shared" si="16"/>
        <v>1.1860584909790994</v>
      </c>
      <c r="I47" s="222">
        <f t="shared" si="17"/>
        <v>1.2240463544181555</v>
      </c>
      <c r="J47" s="221">
        <f t="shared" si="18"/>
        <v>1.1022672064777328</v>
      </c>
      <c r="K47" s="221">
        <f t="shared" si="19"/>
        <v>1.3374837743384924</v>
      </c>
    </row>
    <row r="48" spans="2:15" x14ac:dyDescent="0.2">
      <c r="B48" s="38">
        <v>44835</v>
      </c>
      <c r="C48" s="39">
        <v>955.89</v>
      </c>
      <c r="D48" s="40">
        <v>127.41</v>
      </c>
      <c r="E48" s="267">
        <v>245.499</v>
      </c>
      <c r="F48" s="267">
        <v>265.06099999999998</v>
      </c>
      <c r="H48" s="223">
        <f t="shared" si="16"/>
        <v>1.2309762662099339</v>
      </c>
      <c r="I48" s="224">
        <f t="shared" si="17"/>
        <v>1.2304200869145341</v>
      </c>
      <c r="J48" s="223">
        <f t="shared" si="18"/>
        <v>1.1043589743589743</v>
      </c>
      <c r="K48" s="223">
        <f t="shared" si="19"/>
        <v>1.3233200199700448</v>
      </c>
    </row>
    <row r="49" spans="2:15" x14ac:dyDescent="0.2">
      <c r="B49" s="2">
        <v>44866</v>
      </c>
      <c r="C49" s="3">
        <v>917.05</v>
      </c>
      <c r="D49" s="11">
        <v>128.65</v>
      </c>
      <c r="E49" s="266">
        <v>245.959</v>
      </c>
      <c r="F49" s="266">
        <v>263.15699999999998</v>
      </c>
      <c r="H49" s="221">
        <f t="shared" ref="H49:H52" si="20">+C49/O$7</f>
        <v>1.1809588811765159</v>
      </c>
      <c r="I49" s="222">
        <f t="shared" ref="I49:I52" si="21">+D49/R$7</f>
        <v>1.2423949782713666</v>
      </c>
      <c r="J49" s="221">
        <f t="shared" ref="J49:J52" si="22">+E49/P$7</f>
        <v>1.1064282501124605</v>
      </c>
      <c r="K49" s="221">
        <f t="shared" ref="K49:K52" si="23">+F49/Q$7</f>
        <v>1.3138142785821267</v>
      </c>
    </row>
    <row r="50" spans="2:15" x14ac:dyDescent="0.2">
      <c r="B50" s="38">
        <v>44896</v>
      </c>
      <c r="C50" s="39">
        <v>875.66</v>
      </c>
      <c r="D50" s="40">
        <v>129.02000000000001</v>
      </c>
      <c r="E50" s="267">
        <v>246.518</v>
      </c>
      <c r="F50" s="267">
        <v>257.89699999999999</v>
      </c>
      <c r="H50" s="223">
        <f t="shared" si="20"/>
        <v>1.1276576564974952</v>
      </c>
      <c r="I50" s="224">
        <f t="shared" si="21"/>
        <v>1.2459681313375182</v>
      </c>
      <c r="J50" s="223">
        <f t="shared" si="22"/>
        <v>1.1089428699955015</v>
      </c>
      <c r="K50" s="223">
        <f t="shared" si="23"/>
        <v>1.2875536694957563</v>
      </c>
      <c r="M50" s="323" t="s">
        <v>133</v>
      </c>
    </row>
    <row r="51" spans="2:15" x14ac:dyDescent="0.2">
      <c r="B51" s="2">
        <v>44927</v>
      </c>
      <c r="C51" s="308">
        <v>826.34</v>
      </c>
      <c r="D51" s="309">
        <v>130.05000000000001</v>
      </c>
      <c r="E51" s="314">
        <v>247.08099999999999</v>
      </c>
      <c r="F51" s="314">
        <v>260.22699999999998</v>
      </c>
      <c r="H51" s="221">
        <f t="shared" si="20"/>
        <v>1.0641443344107762</v>
      </c>
      <c r="I51" s="222">
        <f t="shared" si="21"/>
        <v>1.2559150169000484</v>
      </c>
      <c r="J51" s="221">
        <f t="shared" si="22"/>
        <v>1.1114754835807465</v>
      </c>
      <c r="K51" s="221">
        <f t="shared" si="23"/>
        <v>1.2991862206689964</v>
      </c>
      <c r="M51" s="322">
        <v>98.53</v>
      </c>
    </row>
    <row r="52" spans="2:15" x14ac:dyDescent="0.2">
      <c r="B52" s="38">
        <v>44958</v>
      </c>
      <c r="C52" s="310">
        <v>798.26</v>
      </c>
      <c r="D52" s="311">
        <v>129.97</v>
      </c>
      <c r="E52" s="315">
        <v>247.839</v>
      </c>
      <c r="F52" s="316">
        <v>258.66899999999998</v>
      </c>
      <c r="H52" s="223">
        <f t="shared" si="20"/>
        <v>1.0279834649015491</v>
      </c>
      <c r="I52" s="224">
        <f t="shared" si="21"/>
        <v>1.2551424432641236</v>
      </c>
      <c r="J52" s="223">
        <f t="shared" si="22"/>
        <v>1.1148852901484481</v>
      </c>
      <c r="K52" s="223">
        <f t="shared" si="23"/>
        <v>1.2914078881677482</v>
      </c>
      <c r="M52" s="322">
        <v>98.79</v>
      </c>
    </row>
    <row r="53" spans="2:15" x14ac:dyDescent="0.2">
      <c r="B53" s="2">
        <v>44986</v>
      </c>
      <c r="C53" s="308">
        <v>809.5</v>
      </c>
      <c r="D53" s="313">
        <v>131.38</v>
      </c>
      <c r="E53" s="312">
        <v>255.92699999999999</v>
      </c>
      <c r="F53" s="312">
        <v>257.06200000000001</v>
      </c>
      <c r="H53" s="221">
        <f t="shared" ref="H53:H58" si="24">+C53/O$7</f>
        <v>1.0424581149472654</v>
      </c>
      <c r="I53" s="222">
        <f t="shared" ref="I53:I58" si="25">+D53/R$7</f>
        <v>1.2687590535972959</v>
      </c>
      <c r="J53" s="221">
        <f t="shared" ref="J53:J58" si="26">+E53/P$7</f>
        <v>1.1512685560053981</v>
      </c>
      <c r="K53" s="221">
        <f t="shared" ref="K53:K58" si="27">+F53/Q$7</f>
        <v>1.2833849226160758</v>
      </c>
      <c r="M53" s="322">
        <v>99.51</v>
      </c>
    </row>
    <row r="54" spans="2:15" x14ac:dyDescent="0.2">
      <c r="B54" s="38">
        <v>45017</v>
      </c>
      <c r="C54" s="310">
        <v>803.84</v>
      </c>
      <c r="D54" s="311">
        <v>131.79</v>
      </c>
      <c r="E54" s="317">
        <v>256.38799999999998</v>
      </c>
      <c r="F54" s="317">
        <v>256.90800000000002</v>
      </c>
      <c r="H54" s="223">
        <f t="shared" si="24"/>
        <v>1.0351692787142803</v>
      </c>
      <c r="I54" s="224">
        <f t="shared" si="25"/>
        <v>1.27271849348141</v>
      </c>
      <c r="J54" s="223">
        <f t="shared" si="26"/>
        <v>1.1533423301844352</v>
      </c>
      <c r="K54" s="223">
        <f t="shared" si="27"/>
        <v>1.2826160758861707</v>
      </c>
      <c r="M54" s="322">
        <v>99.77</v>
      </c>
      <c r="O54" s="318" t="s">
        <v>134</v>
      </c>
    </row>
    <row r="55" spans="2:15" x14ac:dyDescent="0.2">
      <c r="B55" s="2">
        <v>45047</v>
      </c>
      <c r="C55" s="308">
        <v>798.64</v>
      </c>
      <c r="D55" s="309">
        <v>131.94</v>
      </c>
      <c r="E55" s="312">
        <v>256.81700000000001</v>
      </c>
      <c r="F55" s="312">
        <v>253.67</v>
      </c>
      <c r="H55" s="221">
        <f t="shared" si="24"/>
        <v>1.0284728213977568</v>
      </c>
      <c r="I55" s="222">
        <f t="shared" si="25"/>
        <v>1.2741670690487688</v>
      </c>
      <c r="J55" s="221">
        <f t="shared" si="26"/>
        <v>1.1552721547458389</v>
      </c>
      <c r="K55" s="221">
        <f t="shared" si="27"/>
        <v>1.2664503245132299</v>
      </c>
      <c r="M55" s="322">
        <v>100.09</v>
      </c>
      <c r="O55" s="210">
        <f>M62/D62</f>
        <v>0.75346756152125283</v>
      </c>
    </row>
    <row r="56" spans="2:15" x14ac:dyDescent="0.2">
      <c r="B56" s="38">
        <v>45078</v>
      </c>
      <c r="C56" s="310">
        <v>799.87</v>
      </c>
      <c r="D56" s="311">
        <v>131.74</v>
      </c>
      <c r="E56" s="317">
        <v>256.35500000000002</v>
      </c>
      <c r="F56" s="317">
        <v>253.86</v>
      </c>
      <c r="H56" s="223">
        <f t="shared" si="24"/>
        <v>1.0300567911091651</v>
      </c>
      <c r="I56" s="224">
        <f t="shared" si="25"/>
        <v>1.2722356349589572</v>
      </c>
      <c r="J56" s="223">
        <f t="shared" si="26"/>
        <v>1.1531938821412506</v>
      </c>
      <c r="K56" s="223">
        <f t="shared" si="27"/>
        <v>1.2673989016475287</v>
      </c>
      <c r="M56" s="322">
        <v>99.66</v>
      </c>
    </row>
    <row r="57" spans="2:15" x14ac:dyDescent="0.2">
      <c r="B57" s="2">
        <v>45108</v>
      </c>
      <c r="C57" s="308">
        <v>813.4</v>
      </c>
      <c r="D57" s="309">
        <v>132.19999999999999</v>
      </c>
      <c r="E57" s="312">
        <v>253.63200000000001</v>
      </c>
      <c r="F57" s="312">
        <v>253.83500000000001</v>
      </c>
      <c r="H57" s="221">
        <f t="shared" si="24"/>
        <v>1.0474804579346579</v>
      </c>
      <c r="I57" s="222">
        <f t="shared" si="25"/>
        <v>1.2766779333655238</v>
      </c>
      <c r="J57" s="221">
        <f t="shared" si="26"/>
        <v>1.1409446693657219</v>
      </c>
      <c r="K57" s="221">
        <f t="shared" si="27"/>
        <v>1.2672740888667</v>
      </c>
      <c r="M57" s="322">
        <v>99.78</v>
      </c>
    </row>
    <row r="58" spans="2:15" x14ac:dyDescent="0.2">
      <c r="B58" s="38">
        <v>45139</v>
      </c>
      <c r="C58" s="310">
        <v>855.66</v>
      </c>
      <c r="D58" s="311">
        <v>132.35</v>
      </c>
      <c r="E58" s="317">
        <v>258.39600000000002</v>
      </c>
      <c r="F58" s="317">
        <v>257.68</v>
      </c>
      <c r="H58" s="223">
        <f t="shared" si="24"/>
        <v>1.1019020514339433</v>
      </c>
      <c r="I58" s="224">
        <f t="shared" si="25"/>
        <v>1.2781265089328826</v>
      </c>
      <c r="J58" s="223">
        <f t="shared" si="26"/>
        <v>1.1623751686909582</v>
      </c>
      <c r="K58" s="223">
        <f t="shared" si="27"/>
        <v>1.2864702945581628</v>
      </c>
      <c r="M58" s="322">
        <v>99.9</v>
      </c>
    </row>
    <row r="59" spans="2:15" x14ac:dyDescent="0.2">
      <c r="B59" s="2">
        <v>45170</v>
      </c>
      <c r="C59" s="308">
        <v>884.4</v>
      </c>
      <c r="D59" s="309">
        <v>133.24</v>
      </c>
      <c r="E59" s="312">
        <v>259.31599999999997</v>
      </c>
      <c r="F59" s="312">
        <v>258.93400000000003</v>
      </c>
      <c r="H59" s="221">
        <f t="shared" ref="H59:H67" si="28">+C59/O$7</f>
        <v>1.1389128559102675</v>
      </c>
      <c r="I59" s="222">
        <f t="shared" ref="I59:I67" si="29">+D59/R$7</f>
        <v>1.2867213906325448</v>
      </c>
      <c r="J59" s="221">
        <f t="shared" ref="J59:J68" si="30">+E59/P$7</f>
        <v>1.1665137201979305</v>
      </c>
      <c r="K59" s="221">
        <f t="shared" ref="K59:K68" si="31">+F59/Q$7</f>
        <v>1.2927309036445334</v>
      </c>
      <c r="M59" s="322">
        <v>100.53</v>
      </c>
    </row>
    <row r="60" spans="2:15" x14ac:dyDescent="0.2">
      <c r="B60" s="38">
        <v>45200</v>
      </c>
      <c r="C60" s="310">
        <v>926.35</v>
      </c>
      <c r="D60" s="311">
        <v>133.82</v>
      </c>
      <c r="E60" s="317">
        <v>260.34100000000001</v>
      </c>
      <c r="F60" s="317">
        <v>255.19200000000001</v>
      </c>
      <c r="H60" s="223">
        <f t="shared" si="28"/>
        <v>1.1929352375310678</v>
      </c>
      <c r="I60" s="224">
        <f t="shared" si="29"/>
        <v>1.2923225494929986</v>
      </c>
      <c r="J60" s="223">
        <f t="shared" si="30"/>
        <v>1.1711246063877643</v>
      </c>
      <c r="K60" s="223">
        <f t="shared" si="31"/>
        <v>1.2740489266100847</v>
      </c>
      <c r="M60" s="322">
        <v>100.82</v>
      </c>
    </row>
    <row r="61" spans="2:15" x14ac:dyDescent="0.2">
      <c r="B61" s="2">
        <v>45231</v>
      </c>
      <c r="C61" s="308">
        <v>886.61</v>
      </c>
      <c r="D61" s="309">
        <v>134.82</v>
      </c>
      <c r="E61" s="312">
        <v>261.33800000000002</v>
      </c>
      <c r="F61" s="312">
        <v>252.85599999999999</v>
      </c>
      <c r="H61" s="221">
        <f t="shared" si="28"/>
        <v>1.14175885026979</v>
      </c>
      <c r="I61" s="222">
        <f t="shared" si="29"/>
        <v>1.3019797199420569</v>
      </c>
      <c r="J61" s="221">
        <f t="shared" si="30"/>
        <v>1.1756095366621684</v>
      </c>
      <c r="K61" s="221">
        <f t="shared" si="31"/>
        <v>1.2623864203694457</v>
      </c>
      <c r="M61" s="322">
        <v>101.58</v>
      </c>
    </row>
    <row r="62" spans="2:15" x14ac:dyDescent="0.2">
      <c r="B62" s="38">
        <v>45261</v>
      </c>
      <c r="C62" s="310">
        <v>874.67</v>
      </c>
      <c r="D62" s="311">
        <v>134.1</v>
      </c>
      <c r="E62" s="317">
        <v>261.56700000000001</v>
      </c>
      <c r="F62" s="317">
        <v>249.86600000000001</v>
      </c>
      <c r="H62" s="223">
        <f t="shared" si="28"/>
        <v>1.1263827540468494</v>
      </c>
      <c r="I62" s="224">
        <f t="shared" si="29"/>
        <v>1.2950265572187349</v>
      </c>
      <c r="J62" s="223">
        <f t="shared" si="30"/>
        <v>1.1766396761133604</v>
      </c>
      <c r="K62" s="223">
        <f t="shared" si="31"/>
        <v>1.2474588117823264</v>
      </c>
      <c r="M62" s="322">
        <v>101.04</v>
      </c>
    </row>
    <row r="63" spans="2:15" x14ac:dyDescent="0.2">
      <c r="B63" s="2">
        <v>45292</v>
      </c>
      <c r="C63" s="308">
        <v>907.99</v>
      </c>
      <c r="D63" s="309">
        <f t="shared" ref="D63:D70" si="32">+ROUND(M63/$O$55,2)</f>
        <v>135</v>
      </c>
      <c r="E63" s="312">
        <v>262.47199999999998</v>
      </c>
      <c r="F63" s="312">
        <v>251.30600000000001</v>
      </c>
      <c r="H63" s="221">
        <f t="shared" si="28"/>
        <v>1.1692915920827271</v>
      </c>
      <c r="I63" s="222">
        <f t="shared" si="29"/>
        <v>1.3037180106228876</v>
      </c>
      <c r="J63" s="221">
        <f t="shared" si="30"/>
        <v>1.1807107512370669</v>
      </c>
      <c r="K63" s="221">
        <f t="shared" si="31"/>
        <v>1.254648027958063</v>
      </c>
      <c r="M63" s="322">
        <v>101.72</v>
      </c>
    </row>
    <row r="64" spans="2:15" x14ac:dyDescent="0.2">
      <c r="B64" s="38">
        <v>45323</v>
      </c>
      <c r="C64" s="310">
        <v>963.44</v>
      </c>
      <c r="D64" s="311">
        <f t="shared" si="32"/>
        <v>135.80000000000001</v>
      </c>
      <c r="E64" s="317">
        <v>262.49200000000002</v>
      </c>
      <c r="F64" s="317">
        <v>254.92599999999999</v>
      </c>
      <c r="H64" s="223">
        <f t="shared" si="28"/>
        <v>1.240699007121425</v>
      </c>
      <c r="I64" s="224">
        <f t="shared" si="29"/>
        <v>1.3114437469821343</v>
      </c>
      <c r="J64" s="223">
        <f t="shared" si="30"/>
        <v>1.1808007197480881</v>
      </c>
      <c r="K64" s="223">
        <f t="shared" si="31"/>
        <v>1.2727209186220667</v>
      </c>
      <c r="M64" s="322">
        <v>102.32</v>
      </c>
    </row>
    <row r="65" spans="2:13" x14ac:dyDescent="0.2">
      <c r="B65" s="2">
        <v>45352</v>
      </c>
      <c r="C65" s="308">
        <v>967.93</v>
      </c>
      <c r="D65" s="309">
        <f t="shared" si="32"/>
        <v>136.30000000000001</v>
      </c>
      <c r="E65" s="312">
        <v>262.99200000000002</v>
      </c>
      <c r="F65" s="312">
        <v>255.095</v>
      </c>
      <c r="H65" s="221">
        <f t="shared" si="28"/>
        <v>1.2464811404581921</v>
      </c>
      <c r="I65" s="224">
        <f t="shared" si="29"/>
        <v>1.3162723322066636</v>
      </c>
      <c r="J65" s="221">
        <f t="shared" si="30"/>
        <v>1.1830499325236168</v>
      </c>
      <c r="K65" s="221">
        <f t="shared" si="31"/>
        <v>1.2735646530204692</v>
      </c>
      <c r="M65" s="322">
        <v>102.7</v>
      </c>
    </row>
    <row r="66" spans="2:13" x14ac:dyDescent="0.2">
      <c r="B66" s="38">
        <v>45383</v>
      </c>
      <c r="C66" s="310">
        <v>960.14</v>
      </c>
      <c r="D66" s="311">
        <f t="shared" si="32"/>
        <v>137.02000000000001</v>
      </c>
      <c r="E66" s="319">
        <v>264.50099999999998</v>
      </c>
      <c r="F66" s="319">
        <v>256.97800000000001</v>
      </c>
      <c r="H66" s="223">
        <f t="shared" si="28"/>
        <v>1.2364493322859387</v>
      </c>
      <c r="I66" s="224">
        <f t="shared" si="29"/>
        <v>1.3232254949299858</v>
      </c>
      <c r="J66" s="223">
        <f t="shared" si="30"/>
        <v>1.1898380566801618</v>
      </c>
      <c r="K66" s="223">
        <f t="shared" si="31"/>
        <v>1.2829655516724912</v>
      </c>
      <c r="M66" s="322">
        <v>103.24</v>
      </c>
    </row>
    <row r="67" spans="2:13" x14ac:dyDescent="0.2">
      <c r="B67" s="2">
        <v>45413</v>
      </c>
      <c r="C67" s="308">
        <v>917.88</v>
      </c>
      <c r="D67" s="309">
        <f t="shared" si="32"/>
        <v>137.38999999999999</v>
      </c>
      <c r="E67" s="312">
        <v>265.27600000000001</v>
      </c>
      <c r="F67" s="312">
        <v>255.31299999999999</v>
      </c>
      <c r="H67" s="223">
        <f t="shared" si="28"/>
        <v>1.1820277387866536</v>
      </c>
      <c r="I67" s="224">
        <f t="shared" si="29"/>
        <v>1.3267986479961371</v>
      </c>
      <c r="J67" s="221">
        <f t="shared" si="30"/>
        <v>1.1933243364822312</v>
      </c>
      <c r="K67" s="221">
        <f t="shared" si="31"/>
        <v>1.2746530204692958</v>
      </c>
      <c r="M67" s="322">
        <v>103.52</v>
      </c>
    </row>
    <row r="68" spans="2:13" x14ac:dyDescent="0.2">
      <c r="B68" s="38">
        <v>45444</v>
      </c>
      <c r="C68" s="310">
        <v>926.08</v>
      </c>
      <c r="D68" s="311">
        <f t="shared" si="32"/>
        <v>137.26</v>
      </c>
      <c r="E68" s="317">
        <v>266.238</v>
      </c>
      <c r="F68" s="317">
        <v>255.91399999999999</v>
      </c>
      <c r="H68" s="223">
        <f t="shared" ref="H68:H70" si="33">+C68/O$7</f>
        <v>1.1925875368627099</v>
      </c>
      <c r="I68" s="224">
        <f t="shared" ref="I68:I70" si="34">+D68/R$7</f>
        <v>1.3255432158377596</v>
      </c>
      <c r="J68" s="223">
        <f t="shared" si="30"/>
        <v>1.1976518218623482</v>
      </c>
      <c r="K68" s="223">
        <f t="shared" si="31"/>
        <v>1.2776535197204193</v>
      </c>
      <c r="M68" s="322">
        <v>103.42</v>
      </c>
    </row>
    <row r="69" spans="2:13" x14ac:dyDescent="0.2">
      <c r="B69" s="38">
        <v>45474</v>
      </c>
      <c r="C69" s="308">
        <v>937.56</v>
      </c>
      <c r="D69" s="309">
        <f t="shared" si="32"/>
        <v>138.28</v>
      </c>
      <c r="E69" s="312">
        <v>267.548</v>
      </c>
      <c r="F69" s="312">
        <v>257.32100000000003</v>
      </c>
      <c r="H69" s="221">
        <f t="shared" si="33"/>
        <v>1.2073712541691886</v>
      </c>
      <c r="I69" s="222">
        <f t="shared" si="34"/>
        <v>1.3353935296957993</v>
      </c>
      <c r="J69" s="221">
        <f t="shared" ref="J69" si="35">+E69/P$7</f>
        <v>1.203544759334233</v>
      </c>
      <c r="K69" s="221">
        <f t="shared" ref="K69" si="36">+F69/Q$7</f>
        <v>1.2846779830254618</v>
      </c>
      <c r="M69" s="322">
        <v>104.19</v>
      </c>
    </row>
    <row r="70" spans="2:13" x14ac:dyDescent="0.2">
      <c r="B70" s="38">
        <v>45505</v>
      </c>
      <c r="C70" s="310">
        <v>929.9</v>
      </c>
      <c r="D70" s="311">
        <f t="shared" si="32"/>
        <v>138.63</v>
      </c>
      <c r="E70" s="317">
        <v>269.089</v>
      </c>
      <c r="F70" s="317">
        <v>255.46299999999999</v>
      </c>
      <c r="H70" s="223">
        <f t="shared" si="33"/>
        <v>1.1975068574298482</v>
      </c>
      <c r="I70" s="224">
        <f t="shared" si="34"/>
        <v>1.3387735393529696</v>
      </c>
      <c r="J70" s="223">
        <f t="shared" ref="J70:J71" si="37">+E70/P$7</f>
        <v>1.2104768331084119</v>
      </c>
      <c r="K70" s="223">
        <f t="shared" ref="K70" si="38">+F70/Q$7</f>
        <v>1.2754018971542684</v>
      </c>
      <c r="M70" s="322">
        <v>104.45</v>
      </c>
    </row>
    <row r="71" spans="2:13" x14ac:dyDescent="0.2">
      <c r="B71" s="2">
        <v>45536</v>
      </c>
      <c r="C71" s="308">
        <v>926.21</v>
      </c>
      <c r="D71" s="309">
        <v>138.75</v>
      </c>
      <c r="E71" s="312">
        <v>267.01900000000001</v>
      </c>
      <c r="F71" s="312">
        <v>252.68199999999999</v>
      </c>
      <c r="H71" s="221">
        <f>+C71/O$7</f>
        <v>1.192754948295623</v>
      </c>
      <c r="I71" s="222">
        <f>+D71/R$7</f>
        <v>1.3399323998068566</v>
      </c>
      <c r="J71" s="221">
        <f t="shared" si="37"/>
        <v>1.2011650922177237</v>
      </c>
      <c r="K71" s="221">
        <f>+F71/Q$7</f>
        <v>1.2615177234148776</v>
      </c>
      <c r="M71" s="322">
        <v>104.54</v>
      </c>
    </row>
    <row r="72" spans="2:13" x14ac:dyDescent="0.2">
      <c r="B72" s="38">
        <v>45566</v>
      </c>
      <c r="C72" s="310">
        <v>933.81</v>
      </c>
      <c r="D72" s="311">
        <f t="shared" ref="D72:D88" si="39">+ROUND(M72/$O$55,2)</f>
        <v>140.1</v>
      </c>
      <c r="E72" s="317">
        <v>267.84199999999998</v>
      </c>
      <c r="F72" s="317">
        <v>253.08099999999999</v>
      </c>
      <c r="H72" s="223">
        <f>+C72/O$7</f>
        <v>1.2025420782197727</v>
      </c>
      <c r="I72" s="224">
        <f>+D72/R$7</f>
        <v>1.3529695799130854</v>
      </c>
      <c r="J72" s="223">
        <f>+E72/P$7</f>
        <v>1.2048672964462437</v>
      </c>
      <c r="K72" s="223">
        <f>+F72/Q$7</f>
        <v>1.2635097353969045</v>
      </c>
      <c r="M72" s="322">
        <v>105.56</v>
      </c>
    </row>
    <row r="73" spans="2:13" x14ac:dyDescent="0.2">
      <c r="B73" s="2">
        <v>45597</v>
      </c>
      <c r="C73" s="308">
        <v>971.6</v>
      </c>
      <c r="D73" s="309">
        <f t="shared" si="39"/>
        <v>140.46</v>
      </c>
      <c r="E73" s="312">
        <v>269.25700000000001</v>
      </c>
      <c r="F73" s="312">
        <v>253.21100000000001</v>
      </c>
      <c r="H73" s="221">
        <f>+C73/O$7</f>
        <v>1.251207293987354</v>
      </c>
      <c r="I73" s="222">
        <f>+D73/R$7</f>
        <v>1.3564461612747467</v>
      </c>
      <c r="J73" s="221">
        <f>+E73/P$7</f>
        <v>1.2112325686009897</v>
      </c>
      <c r="K73" s="221">
        <f>+F73/Q$7</f>
        <v>1.2641587618572141</v>
      </c>
      <c r="M73" s="322">
        <v>105.83</v>
      </c>
    </row>
    <row r="74" spans="2:13" x14ac:dyDescent="0.2">
      <c r="B74" s="38">
        <v>45627</v>
      </c>
      <c r="C74" s="310">
        <v>982.3</v>
      </c>
      <c r="D74" s="311">
        <f t="shared" si="39"/>
        <v>140.18</v>
      </c>
      <c r="E74" s="317">
        <v>270.68599999999998</v>
      </c>
      <c r="F74" s="317">
        <v>253.423</v>
      </c>
      <c r="H74" s="223">
        <f t="shared" ref="H74:H76" si="40">+C74/O$7</f>
        <v>1.2649865426963542</v>
      </c>
      <c r="I74" s="224">
        <f t="shared" ref="I74:I76" si="41">+D74/R$7</f>
        <v>1.3537421535490102</v>
      </c>
      <c r="J74" s="223">
        <f>+E74/P$7</f>
        <v>1.2176608187134501</v>
      </c>
      <c r="K74" s="223">
        <f>+F74/Q$7</f>
        <v>1.265217174238642</v>
      </c>
      <c r="M74" s="322">
        <v>105.62</v>
      </c>
    </row>
    <row r="75" spans="2:13" x14ac:dyDescent="0.2">
      <c r="B75" s="2">
        <v>45658</v>
      </c>
      <c r="C75" s="308">
        <v>1000.76</v>
      </c>
      <c r="D75" s="309">
        <f t="shared" si="39"/>
        <v>141.66999999999999</v>
      </c>
      <c r="E75" s="312">
        <v>272.755</v>
      </c>
      <c r="F75" s="312">
        <v>257.36</v>
      </c>
      <c r="H75" s="221">
        <f t="shared" si="40"/>
        <v>1.2887589661700127</v>
      </c>
      <c r="I75" s="222">
        <f t="shared" si="41"/>
        <v>1.368131337518107</v>
      </c>
      <c r="J75" s="221">
        <f t="shared" ref="J75:J76" si="42">+E75/P$7</f>
        <v>1.2269680611785874</v>
      </c>
      <c r="K75" s="221">
        <f t="shared" ref="K75:K76" si="43">+F75/Q$7</f>
        <v>1.2848726909635546</v>
      </c>
      <c r="M75" s="322">
        <v>106.74</v>
      </c>
    </row>
    <row r="76" spans="2:13" x14ac:dyDescent="0.2">
      <c r="B76" s="38">
        <v>45689</v>
      </c>
      <c r="C76" s="310">
        <v>956.62</v>
      </c>
      <c r="D76" s="311">
        <f t="shared" si="39"/>
        <v>142.22</v>
      </c>
      <c r="E76" s="317">
        <v>274.964</v>
      </c>
      <c r="F76" s="317">
        <v>259.49799999999999</v>
      </c>
      <c r="H76" s="223">
        <f t="shared" si="40"/>
        <v>1.2319163457947537</v>
      </c>
      <c r="I76" s="224">
        <f t="shared" si="41"/>
        <v>1.3734427812650893</v>
      </c>
      <c r="J76" s="223">
        <f t="shared" si="42"/>
        <v>1.2369050832208726</v>
      </c>
      <c r="K76" s="223">
        <f t="shared" si="43"/>
        <v>1.2955466799800299</v>
      </c>
      <c r="M76" s="322">
        <v>107.16</v>
      </c>
    </row>
    <row r="77" spans="2:13" x14ac:dyDescent="0.2">
      <c r="B77" s="2">
        <v>45717</v>
      </c>
      <c r="C77" s="308">
        <v>932.55</v>
      </c>
      <c r="D77" s="309">
        <f t="shared" si="39"/>
        <v>142.94</v>
      </c>
      <c r="E77" s="312">
        <v>276.779</v>
      </c>
      <c r="F77" s="312">
        <v>258.52499999999998</v>
      </c>
      <c r="H77" s="221">
        <f t="shared" ref="H77" si="44">+C77/O$7</f>
        <v>1.2009194751007688</v>
      </c>
      <c r="I77" s="222">
        <f t="shared" ref="I77" si="45">+D77/R$7</f>
        <v>1.3803959439884115</v>
      </c>
      <c r="J77" s="221">
        <f t="shared" ref="J77:J78" si="46">+E77/P$7</f>
        <v>1.2450697255960412</v>
      </c>
      <c r="K77" s="221">
        <f t="shared" ref="K77:K78" si="47">+F77/Q$7</f>
        <v>1.2906889665501746</v>
      </c>
      <c r="M77" s="322">
        <v>107.7</v>
      </c>
    </row>
    <row r="78" spans="2:13" x14ac:dyDescent="0.2">
      <c r="B78" s="38">
        <v>45748</v>
      </c>
      <c r="C78" s="310">
        <v>961.96</v>
      </c>
      <c r="D78" s="311">
        <f t="shared" si="39"/>
        <v>143.22</v>
      </c>
      <c r="E78" s="317">
        <v>276.95299999999997</v>
      </c>
      <c r="F78" s="317">
        <v>258.392</v>
      </c>
      <c r="H78" s="221">
        <f t="shared" ref="H78" si="48">+C78/O$7</f>
        <v>1.2387930923467221</v>
      </c>
      <c r="I78" s="222">
        <f t="shared" ref="I78" si="49">+D78/R$7</f>
        <v>1.3830999517141478</v>
      </c>
      <c r="J78" s="221">
        <f t="shared" si="46"/>
        <v>1.2458524516419252</v>
      </c>
      <c r="K78" s="221">
        <f t="shared" si="47"/>
        <v>1.2900249625561657</v>
      </c>
      <c r="M78" s="322">
        <v>107.91</v>
      </c>
    </row>
    <row r="79" spans="2:13" x14ac:dyDescent="0.2">
      <c r="B79" s="2">
        <v>45778</v>
      </c>
      <c r="C79" s="308">
        <v>941.01</v>
      </c>
      <c r="D79" s="309">
        <f t="shared" si="39"/>
        <v>143.5</v>
      </c>
      <c r="E79" s="312">
        <v>277.80099999999999</v>
      </c>
      <c r="F79" s="312">
        <v>258.678</v>
      </c>
      <c r="H79" s="221">
        <f t="shared" ref="H79" si="50">+C79/O$7</f>
        <v>1.2118140960426513</v>
      </c>
      <c r="I79" s="222">
        <f t="shared" ref="I79" si="51">+D79/R$7</f>
        <v>1.3858039594398841</v>
      </c>
      <c r="J79" s="221">
        <f t="shared" ref="J79:J82" si="52">+E79/P$7</f>
        <v>1.2496671165092217</v>
      </c>
      <c r="K79" s="221">
        <f t="shared" ref="K79" si="53">+F79/Q$7</f>
        <v>1.2914528207688467</v>
      </c>
      <c r="M79" s="322">
        <v>108.12</v>
      </c>
    </row>
    <row r="80" spans="2:13" x14ac:dyDescent="0.2">
      <c r="B80" s="38">
        <v>45809</v>
      </c>
      <c r="C80" s="310">
        <v>938.04</v>
      </c>
      <c r="D80" s="311">
        <f t="shared" si="39"/>
        <v>142.91</v>
      </c>
      <c r="E80" s="317">
        <v>275.66199999999998</v>
      </c>
      <c r="F80" s="317">
        <v>260.48200000000003</v>
      </c>
      <c r="H80" s="221">
        <f t="shared" ref="H80" si="54">+C80/O$7</f>
        <v>1.2079893886907138</v>
      </c>
      <c r="I80" s="222">
        <f t="shared" ref="I80" si="55">+D80/R$7</f>
        <v>1.3801062288749397</v>
      </c>
      <c r="J80" s="221">
        <f t="shared" si="52"/>
        <v>1.2400449842555104</v>
      </c>
      <c r="K80" s="221">
        <f>+F80/Q$7</f>
        <v>1.3004593110334499</v>
      </c>
      <c r="M80" s="322">
        <v>107.68</v>
      </c>
    </row>
    <row r="81" spans="2:13" ht="15" x14ac:dyDescent="0.25">
      <c r="B81" s="2">
        <v>45839</v>
      </c>
      <c r="C81" s="308">
        <v>951.55</v>
      </c>
      <c r="D81" s="309">
        <f t="shared" si="39"/>
        <v>144.16</v>
      </c>
      <c r="E81" s="320">
        <v>275.88</v>
      </c>
      <c r="F81" s="320">
        <v>262.358</v>
      </c>
      <c r="H81" s="221">
        <f t="shared" ref="H81" si="56">+C81/O$7</f>
        <v>1.2253872999111433</v>
      </c>
      <c r="I81" s="222">
        <f t="shared" ref="I81" si="57">+D81/R$7</f>
        <v>1.3921776919362627</v>
      </c>
      <c r="J81" s="221">
        <f t="shared" si="52"/>
        <v>1.2410256410256408</v>
      </c>
      <c r="K81" s="221">
        <f>+F81/Q$7</f>
        <v>1.3098252621068396</v>
      </c>
      <c r="M81" s="321">
        <v>108.62</v>
      </c>
    </row>
    <row r="82" spans="2:13" x14ac:dyDescent="0.2">
      <c r="B82" s="38">
        <v>45870</v>
      </c>
      <c r="C82" s="310">
        <v>966.30349999999999</v>
      </c>
      <c r="D82" s="311">
        <f t="shared" si="39"/>
        <v>144.21</v>
      </c>
      <c r="E82" s="317">
        <v>275.13</v>
      </c>
      <c r="F82" s="317">
        <v>262.11</v>
      </c>
      <c r="H82" s="221">
        <f t="shared" ref="H82" si="58">+C82/O$7</f>
        <v>1.2443865658763988</v>
      </c>
      <c r="I82" s="222">
        <f t="shared" ref="I82" si="59">+D82/R$7</f>
        <v>1.3926605504587157</v>
      </c>
      <c r="J82" s="221">
        <f t="shared" si="52"/>
        <v>1.237651821862348</v>
      </c>
      <c r="K82" s="221">
        <f>+F82/Q$7</f>
        <v>1.3085871193210186</v>
      </c>
      <c r="M82" s="322">
        <v>108.66</v>
      </c>
    </row>
    <row r="83" spans="2:13" ht="15" x14ac:dyDescent="0.25">
      <c r="B83" s="2">
        <v>45901</v>
      </c>
      <c r="C83" s="308">
        <v>960.37</v>
      </c>
      <c r="D83" s="309">
        <f t="shared" si="39"/>
        <v>144.85</v>
      </c>
      <c r="E83" s="312">
        <v>279.5</v>
      </c>
      <c r="F83" s="312">
        <v>262.05399999999997</v>
      </c>
      <c r="H83" s="221">
        <f t="shared" ref="H83" si="60">+C83/O$7</f>
        <v>1.2367455217441696</v>
      </c>
      <c r="I83" s="222">
        <f t="shared" ref="I83" si="61">+D83/R$7</f>
        <v>1.3988411395461129</v>
      </c>
      <c r="J83" s="221">
        <f t="shared" ref="J83" si="62">+E83/P$7</f>
        <v>1.2573099415204678</v>
      </c>
      <c r="K83" s="221">
        <f>+F83/Q$7</f>
        <v>1.3083075386919618</v>
      </c>
      <c r="M83" s="321">
        <v>109.14</v>
      </c>
    </row>
    <row r="84" spans="2:13" x14ac:dyDescent="0.2">
      <c r="B84" s="38">
        <v>45931</v>
      </c>
      <c r="C84" s="310">
        <v>953.97</v>
      </c>
      <c r="D84" s="311">
        <f t="shared" si="39"/>
        <v>144.91999999999999</v>
      </c>
      <c r="E84" s="317">
        <v>280.32299999999998</v>
      </c>
      <c r="F84" s="317">
        <v>260.59100000000001</v>
      </c>
      <c r="H84" s="221">
        <f t="shared" ref="H84:H87" si="63">+C84/O$7</f>
        <v>1.2285037281238331</v>
      </c>
      <c r="I84" s="222">
        <f t="shared" ref="I84:I87" si="64">+D84/R$7</f>
        <v>1.3995171414775469</v>
      </c>
      <c r="J84" s="221">
        <f t="shared" ref="J84:J90" si="65">+E84/P$7</f>
        <v>1.2610121457489878</v>
      </c>
      <c r="K84" s="221">
        <f t="shared" ref="K84:K90" si="66">+F84/Q$7</f>
        <v>1.3010034947578633</v>
      </c>
      <c r="M84" s="322">
        <v>109.19</v>
      </c>
    </row>
    <row r="85" spans="2:13" x14ac:dyDescent="0.2">
      <c r="B85" s="2">
        <v>45962</v>
      </c>
      <c r="C85" s="308">
        <v>935.7</v>
      </c>
      <c r="D85" s="309">
        <f t="shared" si="39"/>
        <v>145.29</v>
      </c>
      <c r="E85" s="312">
        <v>281.39999999999998</v>
      </c>
      <c r="F85" s="312">
        <v>261.91399999999999</v>
      </c>
      <c r="H85" s="221">
        <f t="shared" si="63"/>
        <v>1.2049759828982782</v>
      </c>
      <c r="I85" s="222">
        <f t="shared" si="64"/>
        <v>1.4030902945436987</v>
      </c>
      <c r="J85" s="221">
        <f t="shared" si="65"/>
        <v>1.2658569500674761</v>
      </c>
      <c r="K85" s="221">
        <f t="shared" si="66"/>
        <v>1.3076085871193208</v>
      </c>
      <c r="M85" s="322">
        <v>109.47</v>
      </c>
    </row>
    <row r="86" spans="2:13" x14ac:dyDescent="0.2">
      <c r="B86" s="38">
        <v>45992</v>
      </c>
      <c r="C86" s="310">
        <v>916.16</v>
      </c>
      <c r="D86" s="311">
        <f t="shared" si="39"/>
        <v>145.01</v>
      </c>
      <c r="E86" s="317">
        <v>280.44900000000001</v>
      </c>
      <c r="F86" s="317">
        <v>261.33300000000003</v>
      </c>
      <c r="H86" s="221">
        <f t="shared" si="63"/>
        <v>1.179812756751188</v>
      </c>
      <c r="I86" s="222">
        <f t="shared" si="64"/>
        <v>1.4003862868179622</v>
      </c>
      <c r="J86" s="221">
        <f t="shared" si="65"/>
        <v>1.2615789473684211</v>
      </c>
      <c r="K86" s="221">
        <f t="shared" si="66"/>
        <v>1.3047079380928608</v>
      </c>
      <c r="M86" s="322">
        <v>109.26</v>
      </c>
    </row>
    <row r="87" spans="2:13" x14ac:dyDescent="0.2">
      <c r="B87" s="2">
        <v>46023</v>
      </c>
      <c r="C87" s="308">
        <v>883.97</v>
      </c>
      <c r="D87" s="309">
        <f t="shared" si="39"/>
        <v>145.61000000000001</v>
      </c>
      <c r="E87" s="312">
        <v>280.42200000000003</v>
      </c>
      <c r="F87" s="312">
        <v>263.608</v>
      </c>
      <c r="H87" s="221">
        <f t="shared" si="63"/>
        <v>1.1383591104014013</v>
      </c>
      <c r="I87" s="222">
        <f t="shared" si="64"/>
        <v>1.4061805890873975</v>
      </c>
      <c r="J87" s="221">
        <f t="shared" si="65"/>
        <v>1.2614574898785427</v>
      </c>
      <c r="K87" s="221">
        <f t="shared" si="66"/>
        <v>1.3160659011482776</v>
      </c>
      <c r="M87" s="322">
        <v>109.71</v>
      </c>
    </row>
    <row r="88" spans="2:13" x14ac:dyDescent="0.2">
      <c r="B88" s="38">
        <v>46054</v>
      </c>
      <c r="C88" s="310">
        <v>862.02</v>
      </c>
      <c r="D88" s="311">
        <f t="shared" si="39"/>
        <v>145.59</v>
      </c>
      <c r="E88" s="317"/>
      <c r="F88" s="317"/>
      <c r="H88" s="221">
        <f t="shared" ref="H88" si="67">+C88/O$7</f>
        <v>1.1100923338441528</v>
      </c>
      <c r="I88" s="222">
        <f t="shared" ref="I88" si="68">+D88/R$7</f>
        <v>1.4059874456784163</v>
      </c>
      <c r="J88" s="221">
        <f t="shared" si="65"/>
        <v>0</v>
      </c>
      <c r="K88" s="221">
        <f t="shared" si="66"/>
        <v>0</v>
      </c>
      <c r="M88" s="322">
        <v>109.7</v>
      </c>
    </row>
    <row r="89" spans="2:13" x14ac:dyDescent="0.2">
      <c r="M89" s="210"/>
    </row>
    <row r="90" spans="2:13" x14ac:dyDescent="0.2">
      <c r="B90" s="2">
        <v>46082</v>
      </c>
      <c r="C90" s="308">
        <v>909.89</v>
      </c>
      <c r="D90" s="309">
        <f>M90</f>
        <v>110.75</v>
      </c>
      <c r="E90" s="312"/>
      <c r="F90" s="312"/>
      <c r="H90" s="221">
        <f t="shared" ref="H90" si="69">+C90/O$7</f>
        <v>1.1717383745637644</v>
      </c>
      <c r="I90" s="222">
        <f t="shared" ref="I90" si="70">+D90/R$7</f>
        <v>1.0695316272332207</v>
      </c>
      <c r="J90" s="221">
        <f t="shared" si="65"/>
        <v>0</v>
      </c>
      <c r="K90" s="221">
        <f t="shared" si="66"/>
        <v>0</v>
      </c>
      <c r="M90" s="211">
        <v>110.75</v>
      </c>
    </row>
    <row r="91" spans="2:13" x14ac:dyDescent="0.2">
      <c r="B91" s="38">
        <v>46113</v>
      </c>
      <c r="C91" s="310">
        <v>897.89</v>
      </c>
      <c r="D91" s="311">
        <f>M91</f>
        <v>112.18</v>
      </c>
      <c r="E91" s="317"/>
      <c r="F91" s="317"/>
      <c r="H91" s="327">
        <f t="shared" ref="H91:H92" si="71">+C91/O$7</f>
        <v>1.1562850115256333</v>
      </c>
      <c r="I91" s="328">
        <f t="shared" ref="I91:I92" si="72">+D91/R$7</f>
        <v>1.0833413809753742</v>
      </c>
      <c r="J91" s="327">
        <f t="shared" ref="J91:J92" si="73">+E91/P$7</f>
        <v>0</v>
      </c>
      <c r="K91" s="327">
        <f t="shared" ref="K91:K92" si="74">+F91/Q$7</f>
        <v>0</v>
      </c>
      <c r="M91" s="211">
        <v>112.18</v>
      </c>
    </row>
    <row r="92" spans="2:13" x14ac:dyDescent="0.2">
      <c r="B92" s="2">
        <v>46143</v>
      </c>
      <c r="C92" s="308">
        <v>897.64</v>
      </c>
      <c r="D92" s="309">
        <f>M92</f>
        <v>112.37</v>
      </c>
      <c r="E92" s="312"/>
      <c r="F92" s="312"/>
      <c r="H92" s="221">
        <f t="shared" si="71"/>
        <v>1.1559630664623388</v>
      </c>
      <c r="I92" s="222">
        <f t="shared" si="72"/>
        <v>1.0851762433606953</v>
      </c>
      <c r="J92" s="221">
        <f t="shared" si="73"/>
        <v>0</v>
      </c>
      <c r="K92" s="221">
        <f t="shared" si="74"/>
        <v>0</v>
      </c>
      <c r="M92" s="211">
        <v>112.37</v>
      </c>
    </row>
    <row r="93" spans="2:13" x14ac:dyDescent="0.2">
      <c r="B93" s="2">
        <v>46174</v>
      </c>
      <c r="C93" s="310">
        <v>903.38</v>
      </c>
      <c r="D93" s="311">
        <f>M93</f>
        <v>112.35</v>
      </c>
      <c r="E93" s="317"/>
      <c r="F93" s="317"/>
      <c r="H93" s="327">
        <f t="shared" ref="H93" si="75">+C93/O$7</f>
        <v>1.1633549251155784</v>
      </c>
      <c r="I93" s="328">
        <f t="shared" ref="I93" si="76">+D93/R$7</f>
        <v>1.084983099951714</v>
      </c>
      <c r="J93" s="327">
        <f t="shared" ref="J93" si="77">+E93/P$7</f>
        <v>0</v>
      </c>
      <c r="K93" s="327">
        <f t="shared" ref="K93" si="78">+F93/Q$7</f>
        <v>0</v>
      </c>
      <c r="M93" s="211">
        <v>112.35</v>
      </c>
    </row>
  </sheetData>
  <mergeCells count="2">
    <mergeCell ref="O5:R5"/>
    <mergeCell ref="T5:U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DFF56-BB73-48FA-A524-009AD33D1CB0}">
  <dimension ref="A1:AL68"/>
  <sheetViews>
    <sheetView showGridLines="0" zoomScaleNormal="100" workbookViewId="0">
      <pane ySplit="8" topLeftCell="A54" activePane="bottomLeft" state="frozen"/>
      <selection sqref="A1:XFD1048576"/>
      <selection pane="bottomLeft" activeCell="A68" sqref="A68"/>
    </sheetView>
  </sheetViews>
  <sheetFormatPr baseColWidth="10" defaultColWidth="11.42578125" defaultRowHeight="12.75" x14ac:dyDescent="0.2"/>
  <cols>
    <col min="1" max="1" width="3.42578125" style="210" customWidth="1"/>
    <col min="2" max="2" width="7.42578125" style="210" hidden="1" customWidth="1"/>
    <col min="3" max="3" width="11.42578125" style="210"/>
    <col min="4" max="4" width="56" style="210" bestFit="1" customWidth="1"/>
    <col min="5" max="6" width="7.7109375" style="210" bestFit="1" customWidth="1"/>
    <col min="7" max="7" width="12.42578125" style="210" bestFit="1" customWidth="1"/>
    <col min="8" max="8" width="12.140625" style="210" bestFit="1" customWidth="1"/>
    <col min="9" max="9" width="9.7109375" style="210" bestFit="1" customWidth="1"/>
    <col min="10" max="10" width="13.42578125" style="210" bestFit="1" customWidth="1"/>
    <col min="11" max="12" width="9.7109375" style="210" bestFit="1" customWidth="1"/>
    <col min="13" max="13" width="13.42578125" style="210" bestFit="1" customWidth="1"/>
    <col min="14" max="15" width="9" style="210" bestFit="1" customWidth="1"/>
    <col min="16" max="16" width="8.85546875" style="210" customWidth="1"/>
    <col min="17" max="17" width="16.42578125" style="210" bestFit="1" customWidth="1"/>
    <col min="18" max="18" width="7.140625" style="210" bestFit="1" customWidth="1"/>
    <col min="19" max="19" width="10.7109375" style="210" bestFit="1" customWidth="1"/>
    <col min="20" max="20" width="11.7109375" style="210" bestFit="1" customWidth="1"/>
    <col min="21" max="21" width="13.28515625" style="210" bestFit="1" customWidth="1"/>
    <col min="22" max="22" width="12.42578125" style="210" customWidth="1"/>
    <col min="23" max="23" width="12" style="210" bestFit="1" customWidth="1"/>
    <col min="24" max="24" width="8.85546875" style="210" bestFit="1" customWidth="1"/>
    <col min="25" max="25" width="13.28515625" style="210" bestFit="1" customWidth="1"/>
    <col min="26" max="27" width="8.85546875" style="210" bestFit="1" customWidth="1"/>
    <col min="28" max="28" width="13.28515625" style="210" bestFit="1" customWidth="1"/>
    <col min="29" max="30" width="8.85546875" style="210" bestFit="1" customWidth="1"/>
    <col min="31" max="31" width="8.7109375" style="210" bestFit="1" customWidth="1"/>
    <col min="32" max="32" width="16.42578125" style="210" bestFit="1" customWidth="1"/>
    <col min="33" max="34" width="8.7109375" style="210" bestFit="1" customWidth="1"/>
    <col min="35" max="37" width="11.7109375" style="210" bestFit="1" customWidth="1"/>
    <col min="38" max="38" width="14.28515625" style="210" bestFit="1" customWidth="1"/>
    <col min="39" max="16384" width="11.42578125" style="210"/>
  </cols>
  <sheetData>
    <row r="1" spans="1:38" x14ac:dyDescent="0.2">
      <c r="S1" s="216" t="s">
        <v>102</v>
      </c>
    </row>
    <row r="2" spans="1:38" ht="15.75" x14ac:dyDescent="0.25">
      <c r="A2" s="212" t="s">
        <v>101</v>
      </c>
      <c r="B2" s="212"/>
    </row>
    <row r="4" spans="1:38" x14ac:dyDescent="0.2"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</row>
    <row r="5" spans="1:38" s="213" customFormat="1" ht="13.5" thickBot="1" x14ac:dyDescent="0.25"/>
    <row r="6" spans="1:38" s="213" customFormat="1" ht="13.5" thickBot="1" x14ac:dyDescent="0.25">
      <c r="E6" s="214"/>
      <c r="F6" s="339" t="s">
        <v>124</v>
      </c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40"/>
      <c r="T6" s="338" t="s">
        <v>100</v>
      </c>
      <c r="U6" s="339"/>
      <c r="V6" s="339"/>
      <c r="W6" s="339"/>
      <c r="X6" s="339"/>
      <c r="Y6" s="339"/>
      <c r="Z6" s="339"/>
      <c r="AA6" s="339"/>
      <c r="AB6" s="339"/>
      <c r="AC6" s="339"/>
      <c r="AD6" s="339"/>
      <c r="AE6" s="339"/>
      <c r="AF6" s="339"/>
      <c r="AG6" s="339"/>
      <c r="AH6" s="340"/>
      <c r="AI6" s="338" t="s">
        <v>113</v>
      </c>
      <c r="AJ6" s="339"/>
      <c r="AK6" s="339"/>
      <c r="AL6" s="339"/>
    </row>
    <row r="7" spans="1:38" s="213" customFormat="1" ht="13.5" thickBot="1" x14ac:dyDescent="0.25">
      <c r="C7" s="336" t="s">
        <v>22</v>
      </c>
      <c r="D7" s="336" t="s">
        <v>24</v>
      </c>
      <c r="E7" s="336" t="s">
        <v>10</v>
      </c>
      <c r="F7" s="333" t="s">
        <v>80</v>
      </c>
      <c r="G7" s="334"/>
      <c r="H7" s="334"/>
      <c r="I7" s="335"/>
      <c r="J7" s="333" t="s">
        <v>99</v>
      </c>
      <c r="K7" s="334"/>
      <c r="L7" s="335"/>
      <c r="M7" s="333" t="s">
        <v>98</v>
      </c>
      <c r="N7" s="334"/>
      <c r="O7" s="335"/>
      <c r="P7" s="331" t="s">
        <v>77</v>
      </c>
      <c r="Q7" s="331" t="s">
        <v>97</v>
      </c>
      <c r="R7" s="331" t="s">
        <v>96</v>
      </c>
      <c r="S7" s="331" t="s">
        <v>95</v>
      </c>
      <c r="T7" s="336" t="s">
        <v>10</v>
      </c>
      <c r="U7" s="333" t="s">
        <v>80</v>
      </c>
      <c r="V7" s="334"/>
      <c r="W7" s="334"/>
      <c r="X7" s="335"/>
      <c r="Y7" s="333" t="s">
        <v>99</v>
      </c>
      <c r="Z7" s="334"/>
      <c r="AA7" s="335"/>
      <c r="AB7" s="333" t="s">
        <v>98</v>
      </c>
      <c r="AC7" s="334"/>
      <c r="AD7" s="335"/>
      <c r="AE7" s="331" t="s">
        <v>77</v>
      </c>
      <c r="AF7" s="331" t="s">
        <v>97</v>
      </c>
      <c r="AG7" s="331" t="s">
        <v>96</v>
      </c>
      <c r="AH7" s="331" t="s">
        <v>95</v>
      </c>
      <c r="AI7" s="331" t="s">
        <v>94</v>
      </c>
      <c r="AJ7" s="331" t="s">
        <v>93</v>
      </c>
      <c r="AK7" s="331" t="s">
        <v>92</v>
      </c>
      <c r="AL7" s="331" t="s">
        <v>91</v>
      </c>
    </row>
    <row r="8" spans="1:38" s="213" customFormat="1" ht="18.75" customHeight="1" thickBot="1" x14ac:dyDescent="0.25">
      <c r="C8" s="337"/>
      <c r="D8" s="337"/>
      <c r="E8" s="337"/>
      <c r="F8" s="69" t="s">
        <v>11</v>
      </c>
      <c r="G8" s="69" t="s">
        <v>90</v>
      </c>
      <c r="H8" s="69" t="s">
        <v>88</v>
      </c>
      <c r="I8" s="69" t="s">
        <v>87</v>
      </c>
      <c r="J8" s="69" t="s">
        <v>89</v>
      </c>
      <c r="K8" s="69" t="s">
        <v>88</v>
      </c>
      <c r="L8" s="69" t="s">
        <v>87</v>
      </c>
      <c r="M8" s="69" t="s">
        <v>89</v>
      </c>
      <c r="N8" s="69" t="s">
        <v>88</v>
      </c>
      <c r="O8" s="69" t="s">
        <v>87</v>
      </c>
      <c r="P8" s="332"/>
      <c r="Q8" s="332"/>
      <c r="R8" s="332"/>
      <c r="S8" s="332"/>
      <c r="T8" s="337"/>
      <c r="U8" s="69" t="s">
        <v>89</v>
      </c>
      <c r="V8" s="69" t="s">
        <v>90</v>
      </c>
      <c r="W8" s="69" t="s">
        <v>88</v>
      </c>
      <c r="X8" s="69" t="s">
        <v>87</v>
      </c>
      <c r="Y8" s="69" t="s">
        <v>89</v>
      </c>
      <c r="Z8" s="69" t="s">
        <v>88</v>
      </c>
      <c r="AA8" s="69" t="s">
        <v>87</v>
      </c>
      <c r="AB8" s="69" t="s">
        <v>89</v>
      </c>
      <c r="AC8" s="69" t="s">
        <v>88</v>
      </c>
      <c r="AD8" s="69" t="s">
        <v>87</v>
      </c>
      <c r="AE8" s="332"/>
      <c r="AF8" s="332"/>
      <c r="AG8" s="332"/>
      <c r="AH8" s="332"/>
      <c r="AI8" s="332"/>
      <c r="AJ8" s="332"/>
      <c r="AK8" s="332"/>
      <c r="AL8" s="332"/>
    </row>
    <row r="9" spans="1:38" s="213" customFormat="1" x14ac:dyDescent="0.2">
      <c r="C9" s="56">
        <v>44470</v>
      </c>
      <c r="D9" s="56" t="s">
        <v>120</v>
      </c>
      <c r="E9" s="274" t="s">
        <v>48</v>
      </c>
      <c r="F9" s="286">
        <v>546</v>
      </c>
      <c r="G9" s="287">
        <v>0.72697000000000001</v>
      </c>
      <c r="H9" s="287">
        <v>5.9339999999999997E-2</v>
      </c>
      <c r="I9" s="287">
        <v>0.21368999999999999</v>
      </c>
      <c r="J9" s="288">
        <v>72.837000000000003</v>
      </c>
      <c r="K9" s="287">
        <v>0.54988000000000004</v>
      </c>
      <c r="L9" s="287">
        <v>0.45012000000000002</v>
      </c>
      <c r="M9" s="288">
        <v>11.917999999999999</v>
      </c>
      <c r="N9" s="287">
        <v>0.15295</v>
      </c>
      <c r="O9" s="287">
        <v>0.84704999999999997</v>
      </c>
      <c r="P9" s="288">
        <v>1.107</v>
      </c>
      <c r="Q9" s="286">
        <v>5803.92</v>
      </c>
      <c r="R9" s="288">
        <v>1.1000000000000001</v>
      </c>
      <c r="S9" s="289">
        <v>1.0046999999999999</v>
      </c>
      <c r="T9" s="274" t="s">
        <v>56</v>
      </c>
      <c r="U9" s="288">
        <v>523.88</v>
      </c>
      <c r="V9" s="288">
        <v>0.73073999999999995</v>
      </c>
      <c r="W9" s="288">
        <v>5.9639999999999999E-2</v>
      </c>
      <c r="X9" s="288">
        <v>0.20962</v>
      </c>
      <c r="Y9" s="288">
        <v>67.846000000000004</v>
      </c>
      <c r="Z9" s="287">
        <v>0.64307000000000003</v>
      </c>
      <c r="AA9" s="287">
        <v>0.35693000000000003</v>
      </c>
      <c r="AB9" s="288">
        <v>7.7210000000000001</v>
      </c>
      <c r="AC9" s="288">
        <v>0.12336</v>
      </c>
      <c r="AD9" s="288">
        <v>0.87663999999999997</v>
      </c>
      <c r="AE9" s="288">
        <v>0.95299999999999996</v>
      </c>
      <c r="AF9" s="286">
        <v>5418.16</v>
      </c>
      <c r="AG9" s="288">
        <v>1.1000000000000001</v>
      </c>
      <c r="AH9" s="288">
        <v>1.0043</v>
      </c>
      <c r="AI9" s="297">
        <v>8.7849999999999994E-3</v>
      </c>
      <c r="AJ9" s="297">
        <v>8.1379999999999994E-3</v>
      </c>
      <c r="AK9" s="297">
        <v>8.0850000000000002E-3</v>
      </c>
      <c r="AL9" s="288">
        <v>1.0488090000000001</v>
      </c>
    </row>
    <row r="10" spans="1:38" s="213" customFormat="1" x14ac:dyDescent="0.2">
      <c r="C10" s="38">
        <v>44501</v>
      </c>
      <c r="D10" s="38" t="s">
        <v>120</v>
      </c>
      <c r="E10" s="275" t="s">
        <v>48</v>
      </c>
      <c r="F10" s="233">
        <v>546</v>
      </c>
      <c r="G10" s="257">
        <v>0.72697000000000001</v>
      </c>
      <c r="H10" s="257">
        <v>5.9339999999999997E-2</v>
      </c>
      <c r="I10" s="257">
        <v>0.21368999999999999</v>
      </c>
      <c r="J10" s="228">
        <v>72.837000000000003</v>
      </c>
      <c r="K10" s="257">
        <v>0.54988000000000004</v>
      </c>
      <c r="L10" s="257">
        <v>0.45012000000000002</v>
      </c>
      <c r="M10" s="228">
        <v>11.917999999999999</v>
      </c>
      <c r="N10" s="257">
        <v>0.15295</v>
      </c>
      <c r="O10" s="257">
        <v>0.84704999999999997</v>
      </c>
      <c r="P10" s="228">
        <v>1.107</v>
      </c>
      <c r="Q10" s="233">
        <v>5803.92</v>
      </c>
      <c r="R10" s="228">
        <v>1.1000000000000001</v>
      </c>
      <c r="S10" s="255">
        <v>1.0046999999999999</v>
      </c>
      <c r="T10" s="275" t="s">
        <v>56</v>
      </c>
      <c r="U10" s="228">
        <v>523.88</v>
      </c>
      <c r="V10" s="228">
        <v>0.73073999999999995</v>
      </c>
      <c r="W10" s="228">
        <v>5.9639999999999999E-2</v>
      </c>
      <c r="X10" s="228">
        <v>0.20962</v>
      </c>
      <c r="Y10" s="228">
        <v>67.846000000000004</v>
      </c>
      <c r="Z10" s="257">
        <v>0.64307000000000003</v>
      </c>
      <c r="AA10" s="257">
        <v>0.35693000000000003</v>
      </c>
      <c r="AB10" s="228">
        <v>7.7210000000000001</v>
      </c>
      <c r="AC10" s="228">
        <v>0.12336</v>
      </c>
      <c r="AD10" s="228">
        <v>0.87663999999999997</v>
      </c>
      <c r="AE10" s="228">
        <v>0.95299999999999996</v>
      </c>
      <c r="AF10" s="233">
        <f t="shared" ref="AF10:AF13" si="0">+AF9</f>
        <v>5418.16</v>
      </c>
      <c r="AG10" s="228">
        <v>1.1000000000000001</v>
      </c>
      <c r="AH10" s="228">
        <v>1.0043</v>
      </c>
      <c r="AI10" s="298">
        <v>8.7849999999999994E-3</v>
      </c>
      <c r="AJ10" s="298">
        <v>8.1379999999999994E-3</v>
      </c>
      <c r="AK10" s="298">
        <v>8.0850000000000002E-3</v>
      </c>
      <c r="AL10" s="228">
        <v>1.0488090000000001</v>
      </c>
    </row>
    <row r="11" spans="1:38" s="213" customFormat="1" x14ac:dyDescent="0.2">
      <c r="C11" s="2">
        <v>44531</v>
      </c>
      <c r="D11" s="2" t="s">
        <v>120</v>
      </c>
      <c r="E11" s="276" t="s">
        <v>48</v>
      </c>
      <c r="F11" s="253">
        <v>546</v>
      </c>
      <c r="G11" s="256">
        <v>0.72697000000000001</v>
      </c>
      <c r="H11" s="256">
        <v>5.9339999999999997E-2</v>
      </c>
      <c r="I11" s="256">
        <v>0.21368999999999999</v>
      </c>
      <c r="J11" s="229">
        <v>72.837000000000003</v>
      </c>
      <c r="K11" s="256">
        <v>0.54988000000000004</v>
      </c>
      <c r="L11" s="256">
        <v>0.45012000000000002</v>
      </c>
      <c r="M11" s="229">
        <v>11.917999999999999</v>
      </c>
      <c r="N11" s="256">
        <v>0.15295</v>
      </c>
      <c r="O11" s="256">
        <v>0.84704999999999997</v>
      </c>
      <c r="P11" s="229">
        <v>1.107</v>
      </c>
      <c r="Q11" s="253">
        <v>5803.92</v>
      </c>
      <c r="R11" s="229">
        <v>1.1000000000000001</v>
      </c>
      <c r="S11" s="254">
        <v>1.0046999999999999</v>
      </c>
      <c r="T11" s="276" t="s">
        <v>56</v>
      </c>
      <c r="U11" s="229">
        <v>523.88</v>
      </c>
      <c r="V11" s="229">
        <v>0.73073999999999995</v>
      </c>
      <c r="W11" s="229">
        <v>5.9639999999999999E-2</v>
      </c>
      <c r="X11" s="229">
        <v>0.20962</v>
      </c>
      <c r="Y11" s="229">
        <v>67.846000000000004</v>
      </c>
      <c r="Z11" s="256">
        <v>0.64307000000000003</v>
      </c>
      <c r="AA11" s="256">
        <v>0.35693000000000003</v>
      </c>
      <c r="AB11" s="229">
        <v>7.7210000000000001</v>
      </c>
      <c r="AC11" s="229">
        <v>0.12336</v>
      </c>
      <c r="AD11" s="229">
        <v>0.87663999999999997</v>
      </c>
      <c r="AE11" s="229">
        <v>0.95299999999999996</v>
      </c>
      <c r="AF11" s="253">
        <f t="shared" si="0"/>
        <v>5418.16</v>
      </c>
      <c r="AG11" s="229">
        <v>1.1000000000000001</v>
      </c>
      <c r="AH11" s="229">
        <v>1.0043</v>
      </c>
      <c r="AI11" s="299">
        <v>8.7849999999999994E-3</v>
      </c>
      <c r="AJ11" s="299">
        <v>8.1379999999999994E-3</v>
      </c>
      <c r="AK11" s="299">
        <v>8.0850000000000002E-3</v>
      </c>
      <c r="AL11" s="229">
        <v>1.0488090000000001</v>
      </c>
    </row>
    <row r="12" spans="1:38" s="213" customFormat="1" x14ac:dyDescent="0.2">
      <c r="C12" s="38">
        <v>44562</v>
      </c>
      <c r="D12" s="38" t="s">
        <v>120</v>
      </c>
      <c r="E12" s="275" t="s">
        <v>48</v>
      </c>
      <c r="F12" s="233">
        <v>546</v>
      </c>
      <c r="G12" s="257">
        <v>0.72697000000000001</v>
      </c>
      <c r="H12" s="257">
        <v>5.9339999999999997E-2</v>
      </c>
      <c r="I12" s="257">
        <v>0.21368999999999999</v>
      </c>
      <c r="J12" s="228">
        <v>72.837000000000003</v>
      </c>
      <c r="K12" s="257">
        <v>0.54988000000000004</v>
      </c>
      <c r="L12" s="257">
        <v>0.45012000000000002</v>
      </c>
      <c r="M12" s="228">
        <v>11.917999999999999</v>
      </c>
      <c r="N12" s="257">
        <v>0.15295</v>
      </c>
      <c r="O12" s="257">
        <v>0.84704999999999997</v>
      </c>
      <c r="P12" s="228">
        <v>1.107</v>
      </c>
      <c r="Q12" s="233">
        <v>5803.92</v>
      </c>
      <c r="R12" s="228">
        <v>1.1000000000000001</v>
      </c>
      <c r="S12" s="255">
        <v>1.0046999999999999</v>
      </c>
      <c r="T12" s="275" t="s">
        <v>56</v>
      </c>
      <c r="U12" s="228">
        <v>523.88</v>
      </c>
      <c r="V12" s="228">
        <v>0.73073999999999995</v>
      </c>
      <c r="W12" s="228">
        <v>5.9639999999999999E-2</v>
      </c>
      <c r="X12" s="228">
        <v>0.20962</v>
      </c>
      <c r="Y12" s="228">
        <v>67.846000000000004</v>
      </c>
      <c r="Z12" s="257">
        <v>0.64307000000000003</v>
      </c>
      <c r="AA12" s="257">
        <v>0.35693000000000003</v>
      </c>
      <c r="AB12" s="228">
        <v>7.7210000000000001</v>
      </c>
      <c r="AC12" s="228">
        <v>0.12336</v>
      </c>
      <c r="AD12" s="228">
        <v>0.87663999999999997</v>
      </c>
      <c r="AE12" s="228">
        <v>0.95299999999999996</v>
      </c>
      <c r="AF12" s="233">
        <f t="shared" si="0"/>
        <v>5418.16</v>
      </c>
      <c r="AG12" s="228">
        <v>1.1000000000000001</v>
      </c>
      <c r="AH12" s="228">
        <v>1.0043</v>
      </c>
      <c r="AI12" s="298">
        <v>8.7849999999999994E-3</v>
      </c>
      <c r="AJ12" s="298">
        <v>8.1379999999999994E-3</v>
      </c>
      <c r="AK12" s="298">
        <v>8.0850000000000002E-3</v>
      </c>
      <c r="AL12" s="228">
        <v>1.0488090000000001</v>
      </c>
    </row>
    <row r="13" spans="1:38" s="213" customFormat="1" x14ac:dyDescent="0.2">
      <c r="C13" s="2">
        <v>44593</v>
      </c>
      <c r="D13" s="2" t="s">
        <v>120</v>
      </c>
      <c r="E13" s="276" t="s">
        <v>48</v>
      </c>
      <c r="F13" s="253">
        <v>546</v>
      </c>
      <c r="G13" s="256">
        <v>0.72697000000000001</v>
      </c>
      <c r="H13" s="256">
        <v>5.9339999999999997E-2</v>
      </c>
      <c r="I13" s="256">
        <v>0.21368999999999999</v>
      </c>
      <c r="J13" s="229">
        <v>72.837000000000003</v>
      </c>
      <c r="K13" s="256">
        <v>0.54988000000000004</v>
      </c>
      <c r="L13" s="256">
        <v>0.45012000000000002</v>
      </c>
      <c r="M13" s="229">
        <v>11.917999999999999</v>
      </c>
      <c r="N13" s="256">
        <v>0.15295</v>
      </c>
      <c r="O13" s="256">
        <v>0.84704999999999997</v>
      </c>
      <c r="P13" s="229">
        <v>1.107</v>
      </c>
      <c r="Q13" s="253">
        <v>5803.92</v>
      </c>
      <c r="R13" s="229">
        <v>1.1000000000000001</v>
      </c>
      <c r="S13" s="254">
        <v>1.0046999999999999</v>
      </c>
      <c r="T13" s="276" t="s">
        <v>56</v>
      </c>
      <c r="U13" s="229">
        <v>523.88</v>
      </c>
      <c r="V13" s="229">
        <v>0.73073999999999995</v>
      </c>
      <c r="W13" s="229">
        <v>5.9639999999999999E-2</v>
      </c>
      <c r="X13" s="229">
        <v>0.20962</v>
      </c>
      <c r="Y13" s="229">
        <v>67.846000000000004</v>
      </c>
      <c r="Z13" s="256">
        <v>0.64307000000000003</v>
      </c>
      <c r="AA13" s="256">
        <v>0.35693000000000003</v>
      </c>
      <c r="AB13" s="229">
        <v>7.7210000000000001</v>
      </c>
      <c r="AC13" s="229">
        <v>0.12336</v>
      </c>
      <c r="AD13" s="229">
        <v>0.87663999999999997</v>
      </c>
      <c r="AE13" s="229">
        <v>0.95299999999999996</v>
      </c>
      <c r="AF13" s="253">
        <f t="shared" si="0"/>
        <v>5418.16</v>
      </c>
      <c r="AG13" s="229">
        <v>1.1000000000000001</v>
      </c>
      <c r="AH13" s="229">
        <v>1.0043</v>
      </c>
      <c r="AI13" s="299">
        <v>8.7849999999999994E-3</v>
      </c>
      <c r="AJ13" s="299">
        <v>8.1379999999999994E-3</v>
      </c>
      <c r="AK13" s="299">
        <v>8.0850000000000002E-3</v>
      </c>
      <c r="AL13" s="229">
        <v>1.0488090000000001</v>
      </c>
    </row>
    <row r="14" spans="1:38" s="213" customFormat="1" x14ac:dyDescent="0.2">
      <c r="C14" s="38">
        <v>44621</v>
      </c>
      <c r="D14" s="38" t="s">
        <v>121</v>
      </c>
      <c r="E14" s="248" t="s">
        <v>48</v>
      </c>
      <c r="F14" s="233">
        <v>546</v>
      </c>
      <c r="G14" s="257">
        <v>0.72697000000000001</v>
      </c>
      <c r="H14" s="257">
        <v>5.9339999999999997E-2</v>
      </c>
      <c r="I14" s="257">
        <v>0.21368999999999999</v>
      </c>
      <c r="J14" s="228">
        <v>72.837000000000003</v>
      </c>
      <c r="K14" s="257">
        <v>0.54988000000000004</v>
      </c>
      <c r="L14" s="257">
        <v>0.45012000000000002</v>
      </c>
      <c r="M14" s="228">
        <v>11.917999999999999</v>
      </c>
      <c r="N14" s="257">
        <v>0.15295</v>
      </c>
      <c r="O14" s="257">
        <v>0.84704999999999997</v>
      </c>
      <c r="P14" s="228">
        <v>1.107</v>
      </c>
      <c r="Q14" s="233">
        <v>6641.26</v>
      </c>
      <c r="R14" s="228">
        <v>1.1000000000000001</v>
      </c>
      <c r="S14" s="255">
        <v>1.0046999999999999</v>
      </c>
      <c r="T14" s="249" t="s">
        <v>56</v>
      </c>
      <c r="U14" s="228">
        <v>523.88</v>
      </c>
      <c r="V14" s="228">
        <v>0.73073999999999995</v>
      </c>
      <c r="W14" s="228">
        <v>5.9639999999999999E-2</v>
      </c>
      <c r="X14" s="228">
        <v>0.20962</v>
      </c>
      <c r="Y14" s="228">
        <v>67.846000000000004</v>
      </c>
      <c r="Z14" s="257">
        <v>0.64307000000000003</v>
      </c>
      <c r="AA14" s="257">
        <v>0.35693000000000003</v>
      </c>
      <c r="AB14" s="228">
        <v>7.7210000000000001</v>
      </c>
      <c r="AC14" s="228">
        <v>0.12336</v>
      </c>
      <c r="AD14" s="228">
        <v>0.87663999999999997</v>
      </c>
      <c r="AE14" s="228">
        <v>0.95299999999999996</v>
      </c>
      <c r="AF14" s="233">
        <v>6221.93</v>
      </c>
      <c r="AG14" s="228">
        <v>1.1000000000000001</v>
      </c>
      <c r="AH14" s="228">
        <v>1.0043</v>
      </c>
      <c r="AI14" s="298">
        <v>8.7849999999999994E-3</v>
      </c>
      <c r="AJ14" s="298">
        <v>8.1379999999999994E-3</v>
      </c>
      <c r="AK14" s="298">
        <v>8.0850000000000002E-3</v>
      </c>
      <c r="AL14" s="228">
        <v>1.0488090000000001</v>
      </c>
    </row>
    <row r="15" spans="1:38" x14ac:dyDescent="0.2">
      <c r="C15" s="2">
        <v>44652</v>
      </c>
      <c r="D15" s="2" t="s">
        <v>125</v>
      </c>
      <c r="E15" s="276" t="s">
        <v>48</v>
      </c>
      <c r="F15" s="227">
        <v>546</v>
      </c>
      <c r="G15" s="256">
        <v>0.72697000000000001</v>
      </c>
      <c r="H15" s="256">
        <v>5.9339999999999997E-2</v>
      </c>
      <c r="I15" s="256">
        <v>0.21368999999999999</v>
      </c>
      <c r="J15" s="258">
        <v>72.837000000000003</v>
      </c>
      <c r="K15" s="256">
        <v>0.54988000000000004</v>
      </c>
      <c r="L15" s="256">
        <v>0.45012000000000002</v>
      </c>
      <c r="M15" s="258">
        <v>11.917999999999999</v>
      </c>
      <c r="N15" s="256">
        <v>0.15295</v>
      </c>
      <c r="O15" s="256">
        <v>0.84704999999999997</v>
      </c>
      <c r="P15" s="258">
        <v>1.107</v>
      </c>
      <c r="Q15" s="253">
        <v>6531.51</v>
      </c>
      <c r="R15" s="229">
        <v>1.1000000000000001</v>
      </c>
      <c r="S15" s="254">
        <v>1.0046999999999999</v>
      </c>
      <c r="T15" s="276" t="s">
        <v>56</v>
      </c>
      <c r="U15" s="258">
        <v>523.88</v>
      </c>
      <c r="V15" s="229">
        <v>0.73073999999999995</v>
      </c>
      <c r="W15" s="229">
        <v>5.9639999999999999E-2</v>
      </c>
      <c r="X15" s="229">
        <v>0.20962</v>
      </c>
      <c r="Y15" s="258">
        <v>67.846000000000004</v>
      </c>
      <c r="Z15" s="256">
        <v>0.64307000000000003</v>
      </c>
      <c r="AA15" s="256">
        <v>0.35693000000000003</v>
      </c>
      <c r="AB15" s="258">
        <v>7.7210000000000001</v>
      </c>
      <c r="AC15" s="229">
        <v>0.12336</v>
      </c>
      <c r="AD15" s="229">
        <v>0.87663999999999997</v>
      </c>
      <c r="AE15" s="258">
        <v>0.95299999999999996</v>
      </c>
      <c r="AF15" s="253">
        <v>6119.19</v>
      </c>
      <c r="AG15" s="229">
        <v>1.1000000000000001</v>
      </c>
      <c r="AH15" s="229">
        <v>1.0043</v>
      </c>
      <c r="AI15" s="299">
        <v>8.7849999999999994E-3</v>
      </c>
      <c r="AJ15" s="299">
        <v>8.1379999999999994E-3</v>
      </c>
      <c r="AK15" s="299">
        <v>8.0850000000000002E-3</v>
      </c>
      <c r="AL15" s="229">
        <v>1.0488090000000001</v>
      </c>
    </row>
    <row r="16" spans="1:38" x14ac:dyDescent="0.2">
      <c r="C16" s="38">
        <v>44682</v>
      </c>
      <c r="D16" s="38" t="s">
        <v>125</v>
      </c>
      <c r="E16" s="248" t="s">
        <v>48</v>
      </c>
      <c r="F16" s="233">
        <v>546</v>
      </c>
      <c r="G16" s="257">
        <v>0.72697000000000001</v>
      </c>
      <c r="H16" s="257">
        <v>5.9339999999999997E-2</v>
      </c>
      <c r="I16" s="257">
        <v>0.21368999999999999</v>
      </c>
      <c r="J16" s="228">
        <v>72.837000000000003</v>
      </c>
      <c r="K16" s="257">
        <v>0.54988000000000004</v>
      </c>
      <c r="L16" s="257">
        <v>0.45012000000000002</v>
      </c>
      <c r="M16" s="228">
        <v>11.917999999999999</v>
      </c>
      <c r="N16" s="257">
        <v>0.15295</v>
      </c>
      <c r="O16" s="257">
        <v>0.84704999999999997</v>
      </c>
      <c r="P16" s="228">
        <v>1.107</v>
      </c>
      <c r="Q16" s="233">
        <v>6531.51</v>
      </c>
      <c r="R16" s="228">
        <v>1.1000000000000001</v>
      </c>
      <c r="S16" s="255">
        <v>1.0046999999999999</v>
      </c>
      <c r="T16" s="249" t="s">
        <v>56</v>
      </c>
      <c r="U16" s="228">
        <v>523.88</v>
      </c>
      <c r="V16" s="228">
        <v>0.73073999999999995</v>
      </c>
      <c r="W16" s="228">
        <v>5.9639999999999999E-2</v>
      </c>
      <c r="X16" s="228">
        <v>0.20962</v>
      </c>
      <c r="Y16" s="228">
        <v>67.846000000000004</v>
      </c>
      <c r="Z16" s="257">
        <v>0.64307000000000003</v>
      </c>
      <c r="AA16" s="257">
        <v>0.35693000000000003</v>
      </c>
      <c r="AB16" s="228">
        <v>7.7210000000000001</v>
      </c>
      <c r="AC16" s="228">
        <v>0.12336</v>
      </c>
      <c r="AD16" s="228">
        <v>0.87663999999999997</v>
      </c>
      <c r="AE16" s="228">
        <v>0.95299999999999996</v>
      </c>
      <c r="AF16" s="233">
        <v>6119.19</v>
      </c>
      <c r="AG16" s="228">
        <v>1.1000000000000001</v>
      </c>
      <c r="AH16" s="228">
        <v>1.0043</v>
      </c>
      <c r="AI16" s="298">
        <v>8.7849999999999994E-3</v>
      </c>
      <c r="AJ16" s="298">
        <v>8.1379999999999994E-3</v>
      </c>
      <c r="AK16" s="298">
        <v>8.0850000000000002E-3</v>
      </c>
      <c r="AL16" s="228">
        <v>1.0488090000000001</v>
      </c>
    </row>
    <row r="17" spans="3:38" x14ac:dyDescent="0.2">
      <c r="C17" s="2">
        <v>44713</v>
      </c>
      <c r="D17" s="2" t="s">
        <v>125</v>
      </c>
      <c r="E17" s="247" t="s">
        <v>48</v>
      </c>
      <c r="F17" s="227">
        <v>546</v>
      </c>
      <c r="G17" s="256">
        <v>0.72697000000000001</v>
      </c>
      <c r="H17" s="256">
        <v>5.9339999999999997E-2</v>
      </c>
      <c r="I17" s="256">
        <v>0.21368999999999999</v>
      </c>
      <c r="J17" s="258">
        <v>72.837000000000003</v>
      </c>
      <c r="K17" s="256">
        <v>0.54988000000000004</v>
      </c>
      <c r="L17" s="256">
        <v>0.45012000000000002</v>
      </c>
      <c r="M17" s="258">
        <v>11.917999999999999</v>
      </c>
      <c r="N17" s="256">
        <v>0.15295</v>
      </c>
      <c r="O17" s="256">
        <v>0.84704999999999997</v>
      </c>
      <c r="P17" s="258">
        <v>1.107</v>
      </c>
      <c r="Q17" s="253">
        <v>6531.51</v>
      </c>
      <c r="R17" s="229">
        <v>1.1000000000000001</v>
      </c>
      <c r="S17" s="254">
        <v>1.0046999999999999</v>
      </c>
      <c r="T17" s="276" t="s">
        <v>56</v>
      </c>
      <c r="U17" s="258">
        <v>523.88</v>
      </c>
      <c r="V17" s="229">
        <v>0.73073999999999995</v>
      </c>
      <c r="W17" s="229">
        <v>5.9639999999999999E-2</v>
      </c>
      <c r="X17" s="229">
        <v>0.20962</v>
      </c>
      <c r="Y17" s="258">
        <v>67.846000000000004</v>
      </c>
      <c r="Z17" s="256">
        <v>0.64307000000000003</v>
      </c>
      <c r="AA17" s="256">
        <v>0.35693000000000003</v>
      </c>
      <c r="AB17" s="258">
        <v>7.7210000000000001</v>
      </c>
      <c r="AC17" s="229">
        <v>0.12336</v>
      </c>
      <c r="AD17" s="229">
        <v>0.87663999999999997</v>
      </c>
      <c r="AE17" s="258">
        <v>0.95299999999999996</v>
      </c>
      <c r="AF17" s="253">
        <v>6119.19</v>
      </c>
      <c r="AG17" s="229">
        <v>1.1000000000000001</v>
      </c>
      <c r="AH17" s="229">
        <v>1.0043</v>
      </c>
      <c r="AI17" s="299">
        <v>8.7849999999999994E-3</v>
      </c>
      <c r="AJ17" s="299">
        <v>8.1379999999999994E-3</v>
      </c>
      <c r="AK17" s="299">
        <v>8.0850000000000002E-3</v>
      </c>
      <c r="AL17" s="229">
        <v>1.0488090000000001</v>
      </c>
    </row>
    <row r="18" spans="3:38" x14ac:dyDescent="0.2">
      <c r="C18" s="38">
        <v>44743</v>
      </c>
      <c r="D18" s="38" t="s">
        <v>125</v>
      </c>
      <c r="E18" s="277" t="s">
        <v>48</v>
      </c>
      <c r="F18" s="233">
        <v>546</v>
      </c>
      <c r="G18" s="257">
        <v>0.72697000000000001</v>
      </c>
      <c r="H18" s="257">
        <v>5.9339999999999997E-2</v>
      </c>
      <c r="I18" s="257">
        <v>0.21368999999999999</v>
      </c>
      <c r="J18" s="228">
        <v>72.837000000000003</v>
      </c>
      <c r="K18" s="257">
        <v>0.54988000000000004</v>
      </c>
      <c r="L18" s="257">
        <v>0.45012000000000002</v>
      </c>
      <c r="M18" s="228">
        <v>11.917999999999999</v>
      </c>
      <c r="N18" s="257">
        <v>0.15295</v>
      </c>
      <c r="O18" s="257">
        <v>0.84704999999999997</v>
      </c>
      <c r="P18" s="228">
        <v>1.107</v>
      </c>
      <c r="Q18" s="233">
        <v>6531.51</v>
      </c>
      <c r="R18" s="228">
        <v>1.1000000000000001</v>
      </c>
      <c r="S18" s="255">
        <v>1.0046999999999999</v>
      </c>
      <c r="T18" s="249" t="s">
        <v>56</v>
      </c>
      <c r="U18" s="228">
        <v>523.88</v>
      </c>
      <c r="V18" s="228">
        <v>0.73073999999999995</v>
      </c>
      <c r="W18" s="228">
        <v>5.9639999999999999E-2</v>
      </c>
      <c r="X18" s="228">
        <v>0.20962</v>
      </c>
      <c r="Y18" s="228">
        <v>67.846000000000004</v>
      </c>
      <c r="Z18" s="257">
        <v>0.64307000000000003</v>
      </c>
      <c r="AA18" s="257">
        <v>0.35693000000000003</v>
      </c>
      <c r="AB18" s="228">
        <v>7.7210000000000001</v>
      </c>
      <c r="AC18" s="228">
        <v>0.12336</v>
      </c>
      <c r="AD18" s="228">
        <v>0.87663999999999997</v>
      </c>
      <c r="AE18" s="228">
        <v>0.95299999999999996</v>
      </c>
      <c r="AF18" s="233">
        <v>6119.19</v>
      </c>
      <c r="AG18" s="228">
        <v>1.1000000000000001</v>
      </c>
      <c r="AH18" s="228">
        <v>1.0043</v>
      </c>
      <c r="AI18" s="298">
        <v>8.7849999999999994E-3</v>
      </c>
      <c r="AJ18" s="298">
        <v>8.1379999999999994E-3</v>
      </c>
      <c r="AK18" s="298">
        <v>8.0850000000000002E-3</v>
      </c>
      <c r="AL18" s="228">
        <v>1.0488090000000001</v>
      </c>
    </row>
    <row r="19" spans="3:38" x14ac:dyDescent="0.2">
      <c r="C19" s="2">
        <v>44774</v>
      </c>
      <c r="D19" s="2" t="s">
        <v>125</v>
      </c>
      <c r="E19" s="276" t="s">
        <v>48</v>
      </c>
      <c r="F19" s="227">
        <v>546</v>
      </c>
      <c r="G19" s="256">
        <v>0.72697000000000001</v>
      </c>
      <c r="H19" s="256">
        <v>5.9339999999999997E-2</v>
      </c>
      <c r="I19" s="256">
        <v>0.21368999999999999</v>
      </c>
      <c r="J19" s="258">
        <v>72.837000000000003</v>
      </c>
      <c r="K19" s="256">
        <v>0.54988000000000004</v>
      </c>
      <c r="L19" s="256">
        <v>0.45012000000000002</v>
      </c>
      <c r="M19" s="258">
        <v>11.917999999999999</v>
      </c>
      <c r="N19" s="256">
        <v>0.15295</v>
      </c>
      <c r="O19" s="256">
        <v>0.84704999999999997</v>
      </c>
      <c r="P19" s="258">
        <v>1.107</v>
      </c>
      <c r="Q19" s="253">
        <v>6531.51</v>
      </c>
      <c r="R19" s="229">
        <v>1.1000000000000001</v>
      </c>
      <c r="S19" s="254">
        <v>1.0046999999999999</v>
      </c>
      <c r="T19" s="276" t="s">
        <v>56</v>
      </c>
      <c r="U19" s="258">
        <v>523.88</v>
      </c>
      <c r="V19" s="229">
        <v>0.73073999999999995</v>
      </c>
      <c r="W19" s="229">
        <v>5.9639999999999999E-2</v>
      </c>
      <c r="X19" s="229">
        <v>0.20962</v>
      </c>
      <c r="Y19" s="258">
        <v>67.846000000000004</v>
      </c>
      <c r="Z19" s="256">
        <v>0.64307000000000003</v>
      </c>
      <c r="AA19" s="256">
        <v>0.35693000000000003</v>
      </c>
      <c r="AB19" s="258">
        <v>7.7210000000000001</v>
      </c>
      <c r="AC19" s="229">
        <v>0.12336</v>
      </c>
      <c r="AD19" s="229">
        <v>0.87663999999999997</v>
      </c>
      <c r="AE19" s="258">
        <v>0.95299999999999996</v>
      </c>
      <c r="AF19" s="253">
        <v>6119.19</v>
      </c>
      <c r="AG19" s="229">
        <v>1.1000000000000001</v>
      </c>
      <c r="AH19" s="229">
        <v>1.0043</v>
      </c>
      <c r="AI19" s="299">
        <v>8.7849999999999994E-3</v>
      </c>
      <c r="AJ19" s="299">
        <v>8.1379999999999994E-3</v>
      </c>
      <c r="AK19" s="299">
        <v>8.0850000000000002E-3</v>
      </c>
      <c r="AL19" s="229">
        <v>1.0488090000000001</v>
      </c>
    </row>
    <row r="20" spans="3:38" x14ac:dyDescent="0.2">
      <c r="C20" s="38">
        <v>44805</v>
      </c>
      <c r="D20" s="38" t="s">
        <v>126</v>
      </c>
      <c r="E20" s="248" t="s">
        <v>48</v>
      </c>
      <c r="F20" s="233">
        <v>546</v>
      </c>
      <c r="G20" s="257">
        <v>0.72697000000000001</v>
      </c>
      <c r="H20" s="257">
        <v>5.9339999999999997E-2</v>
      </c>
      <c r="I20" s="257">
        <v>0.21368999999999999</v>
      </c>
      <c r="J20" s="228">
        <v>72.837000000000003</v>
      </c>
      <c r="K20" s="257">
        <v>0.54988000000000004</v>
      </c>
      <c r="L20" s="257">
        <v>0.45012000000000002</v>
      </c>
      <c r="M20" s="228">
        <v>11.917999999999999</v>
      </c>
      <c r="N20" s="257">
        <v>0.15295</v>
      </c>
      <c r="O20" s="257">
        <v>0.84704999999999997</v>
      </c>
      <c r="P20" s="228">
        <v>1.107</v>
      </c>
      <c r="Q20" s="233">
        <v>6531.51</v>
      </c>
      <c r="R20" s="228">
        <v>1.1000000000000001</v>
      </c>
      <c r="S20" s="255">
        <v>1.0046999999999999</v>
      </c>
      <c r="T20" s="249" t="s">
        <v>56</v>
      </c>
      <c r="U20" s="228">
        <v>523.88</v>
      </c>
      <c r="V20" s="228">
        <v>0.73073999999999995</v>
      </c>
      <c r="W20" s="228">
        <v>5.9639999999999999E-2</v>
      </c>
      <c r="X20" s="228">
        <v>0.20962</v>
      </c>
      <c r="Y20" s="228">
        <v>67.846000000000004</v>
      </c>
      <c r="Z20" s="257">
        <v>0.64307000000000003</v>
      </c>
      <c r="AA20" s="257">
        <v>0.35693000000000003</v>
      </c>
      <c r="AB20" s="228">
        <v>7.7210000000000001</v>
      </c>
      <c r="AC20" s="228">
        <v>0.12336</v>
      </c>
      <c r="AD20" s="228">
        <v>0.87663999999999997</v>
      </c>
      <c r="AE20" s="228">
        <v>0.95299999999999996</v>
      </c>
      <c r="AF20" s="233">
        <v>6119.19</v>
      </c>
      <c r="AG20" s="228">
        <v>1.1000000000000001</v>
      </c>
      <c r="AH20" s="228">
        <v>1.0043</v>
      </c>
      <c r="AI20" s="298">
        <v>8.7849999999999994E-3</v>
      </c>
      <c r="AJ20" s="298">
        <v>8.1379999999999994E-3</v>
      </c>
      <c r="AK20" s="298">
        <v>8.0850000000000002E-3</v>
      </c>
      <c r="AL20" s="228">
        <v>1.0488090000000001</v>
      </c>
    </row>
    <row r="21" spans="3:38" x14ac:dyDescent="0.2">
      <c r="C21" s="2">
        <v>44835</v>
      </c>
      <c r="D21" s="2" t="s">
        <v>127</v>
      </c>
      <c r="E21" s="276" t="s">
        <v>48</v>
      </c>
      <c r="F21" s="227">
        <v>546</v>
      </c>
      <c r="G21" s="256">
        <v>0.72697000000000001</v>
      </c>
      <c r="H21" s="256">
        <v>5.9339999999999997E-2</v>
      </c>
      <c r="I21" s="256">
        <v>0.21368999999999999</v>
      </c>
      <c r="J21" s="258">
        <v>72.837000000000003</v>
      </c>
      <c r="K21" s="256">
        <v>0.54988000000000004</v>
      </c>
      <c r="L21" s="256">
        <v>0.45012000000000002</v>
      </c>
      <c r="M21" s="258">
        <v>11.917999999999999</v>
      </c>
      <c r="N21" s="256">
        <v>0.15295</v>
      </c>
      <c r="O21" s="256">
        <v>0.84704999999999997</v>
      </c>
      <c r="P21" s="258">
        <v>1.107</v>
      </c>
      <c r="Q21" s="253">
        <v>6974.43</v>
      </c>
      <c r="R21" s="229">
        <v>1.1000000000000001</v>
      </c>
      <c r="S21" s="254">
        <v>1.0046999999999999</v>
      </c>
      <c r="T21" s="276" t="s">
        <v>56</v>
      </c>
      <c r="U21" s="258">
        <v>523.88</v>
      </c>
      <c r="V21" s="229">
        <v>0.73073999999999995</v>
      </c>
      <c r="W21" s="229">
        <v>5.9639999999999999E-2</v>
      </c>
      <c r="X21" s="229">
        <v>0.20962</v>
      </c>
      <c r="Y21" s="258">
        <v>67.846000000000004</v>
      </c>
      <c r="Z21" s="256">
        <v>0.64307000000000003</v>
      </c>
      <c r="AA21" s="256">
        <v>0.35693000000000003</v>
      </c>
      <c r="AB21" s="258">
        <v>7.7210000000000001</v>
      </c>
      <c r="AC21" s="229">
        <v>0.12336</v>
      </c>
      <c r="AD21" s="229">
        <v>0.87663999999999997</v>
      </c>
      <c r="AE21" s="258">
        <v>0.95299999999999996</v>
      </c>
      <c r="AF21" s="253">
        <v>6535.12</v>
      </c>
      <c r="AG21" s="229">
        <v>1.1000000000000001</v>
      </c>
      <c r="AH21" s="229">
        <v>1.0043</v>
      </c>
      <c r="AI21" s="299">
        <v>8.7849999999999994E-3</v>
      </c>
      <c r="AJ21" s="299">
        <v>8.1379999999999994E-3</v>
      </c>
      <c r="AK21" s="299">
        <v>8.0850000000000002E-3</v>
      </c>
      <c r="AL21" s="229">
        <v>1.0488090000000001</v>
      </c>
    </row>
    <row r="22" spans="3:38" x14ac:dyDescent="0.2">
      <c r="C22" s="38">
        <v>44866</v>
      </c>
      <c r="D22" s="38" t="s">
        <v>127</v>
      </c>
      <c r="E22" s="248" t="s">
        <v>48</v>
      </c>
      <c r="F22" s="233">
        <v>546</v>
      </c>
      <c r="G22" s="257">
        <v>0.72697000000000001</v>
      </c>
      <c r="H22" s="257">
        <v>5.9339999999999997E-2</v>
      </c>
      <c r="I22" s="257">
        <v>0.21368999999999999</v>
      </c>
      <c r="J22" s="228">
        <v>72.837000000000003</v>
      </c>
      <c r="K22" s="257">
        <v>0.54988000000000004</v>
      </c>
      <c r="L22" s="257">
        <v>0.45012000000000002</v>
      </c>
      <c r="M22" s="228">
        <v>11.917999999999999</v>
      </c>
      <c r="N22" s="257">
        <v>0.15295</v>
      </c>
      <c r="O22" s="257">
        <v>0.84704999999999997</v>
      </c>
      <c r="P22" s="228">
        <v>1.107</v>
      </c>
      <c r="Q22" s="233">
        <v>6974.43</v>
      </c>
      <c r="R22" s="228">
        <v>1.1000000000000001</v>
      </c>
      <c r="S22" s="255">
        <v>1.0046999999999999</v>
      </c>
      <c r="T22" s="249" t="s">
        <v>56</v>
      </c>
      <c r="U22" s="228">
        <v>523.88</v>
      </c>
      <c r="V22" s="228">
        <v>0.73073999999999995</v>
      </c>
      <c r="W22" s="228">
        <v>5.9639999999999999E-2</v>
      </c>
      <c r="X22" s="228">
        <v>0.20962</v>
      </c>
      <c r="Y22" s="228">
        <v>67.846000000000004</v>
      </c>
      <c r="Z22" s="257">
        <v>0.64307000000000003</v>
      </c>
      <c r="AA22" s="257">
        <v>0.35693000000000003</v>
      </c>
      <c r="AB22" s="228">
        <v>7.7210000000000001</v>
      </c>
      <c r="AC22" s="228">
        <v>0.12336</v>
      </c>
      <c r="AD22" s="228">
        <v>0.87663999999999997</v>
      </c>
      <c r="AE22" s="228">
        <v>0.95299999999999996</v>
      </c>
      <c r="AF22" s="233">
        <v>6535.12</v>
      </c>
      <c r="AG22" s="228">
        <v>1.1000000000000001</v>
      </c>
      <c r="AH22" s="228">
        <v>1.0043</v>
      </c>
      <c r="AI22" s="298">
        <v>8.7849999999999994E-3</v>
      </c>
      <c r="AJ22" s="298">
        <v>8.1379999999999994E-3</v>
      </c>
      <c r="AK22" s="298">
        <v>8.0850000000000002E-3</v>
      </c>
      <c r="AL22" s="228">
        <v>1.0488090000000001</v>
      </c>
    </row>
    <row r="23" spans="3:38" x14ac:dyDescent="0.2">
      <c r="C23" s="2">
        <v>44896</v>
      </c>
      <c r="D23" s="2" t="s">
        <v>129</v>
      </c>
      <c r="E23" s="276" t="s">
        <v>48</v>
      </c>
      <c r="F23" s="227">
        <v>546</v>
      </c>
      <c r="G23" s="256">
        <v>0.72697000000000001</v>
      </c>
      <c r="H23" s="256">
        <v>5.9339999999999997E-2</v>
      </c>
      <c r="I23" s="256">
        <v>0.21368999999999999</v>
      </c>
      <c r="J23" s="258">
        <v>72.837000000000003</v>
      </c>
      <c r="K23" s="256">
        <v>0.54988000000000004</v>
      </c>
      <c r="L23" s="256">
        <v>0.45012000000000002</v>
      </c>
      <c r="M23" s="258">
        <v>11.917999999999999</v>
      </c>
      <c r="N23" s="256">
        <v>0.15295</v>
      </c>
      <c r="O23" s="256">
        <v>0.84704999999999997</v>
      </c>
      <c r="P23" s="258">
        <v>1.107</v>
      </c>
      <c r="Q23" s="253">
        <v>7940</v>
      </c>
      <c r="R23" s="229">
        <v>1.1000000000000001</v>
      </c>
      <c r="S23" s="254">
        <v>1.0046999999999999</v>
      </c>
      <c r="T23" s="276" t="s">
        <v>56</v>
      </c>
      <c r="U23" s="258">
        <v>523.88</v>
      </c>
      <c r="V23" s="229">
        <v>0.73073999999999995</v>
      </c>
      <c r="W23" s="229">
        <v>5.9639999999999999E-2</v>
      </c>
      <c r="X23" s="229">
        <v>0.20962</v>
      </c>
      <c r="Y23" s="258">
        <v>67.846000000000004</v>
      </c>
      <c r="Z23" s="256">
        <v>0.64307000000000003</v>
      </c>
      <c r="AA23" s="256">
        <v>0.35693000000000003</v>
      </c>
      <c r="AB23" s="258">
        <v>7.7210000000000001</v>
      </c>
      <c r="AC23" s="229">
        <v>0.12336</v>
      </c>
      <c r="AD23" s="229">
        <v>0.87663999999999997</v>
      </c>
      <c r="AE23" s="258">
        <v>0.95299999999999996</v>
      </c>
      <c r="AF23" s="253">
        <v>7465.69</v>
      </c>
      <c r="AG23" s="229">
        <v>1.1000000000000001</v>
      </c>
      <c r="AH23" s="229">
        <v>1.0043</v>
      </c>
      <c r="AI23" s="299">
        <v>8.7849999999999994E-3</v>
      </c>
      <c r="AJ23" s="299">
        <v>8.1379999999999994E-3</v>
      </c>
      <c r="AK23" s="299">
        <v>8.0850000000000002E-3</v>
      </c>
      <c r="AL23" s="229">
        <v>1.0488090000000001</v>
      </c>
    </row>
    <row r="24" spans="3:38" x14ac:dyDescent="0.2">
      <c r="C24" s="38">
        <v>44927</v>
      </c>
      <c r="D24" s="38" t="s">
        <v>129</v>
      </c>
      <c r="E24" s="301" t="s">
        <v>48</v>
      </c>
      <c r="F24" s="233">
        <v>546</v>
      </c>
      <c r="G24" s="257">
        <v>0.72697000000000001</v>
      </c>
      <c r="H24" s="257">
        <v>5.9339999999999997E-2</v>
      </c>
      <c r="I24" s="257">
        <v>0.21368999999999999</v>
      </c>
      <c r="J24" s="228">
        <v>72.837000000000003</v>
      </c>
      <c r="K24" s="257">
        <v>0.54988000000000004</v>
      </c>
      <c r="L24" s="257">
        <v>0.45012000000000002</v>
      </c>
      <c r="M24" s="228">
        <v>11.917999999999999</v>
      </c>
      <c r="N24" s="257">
        <v>0.15295</v>
      </c>
      <c r="O24" s="257">
        <v>0.84704999999999997</v>
      </c>
      <c r="P24" s="228">
        <v>1.107</v>
      </c>
      <c r="Q24" s="233">
        <v>7940</v>
      </c>
      <c r="R24" s="228">
        <v>1.1000000000000001</v>
      </c>
      <c r="S24" s="255">
        <v>1.0046999999999999</v>
      </c>
      <c r="T24" s="302" t="s">
        <v>56</v>
      </c>
      <c r="U24" s="228">
        <v>523.88</v>
      </c>
      <c r="V24" s="228">
        <v>0.73073999999999995</v>
      </c>
      <c r="W24" s="228">
        <v>5.9639999999999999E-2</v>
      </c>
      <c r="X24" s="228">
        <v>0.20962</v>
      </c>
      <c r="Y24" s="228">
        <v>67.846000000000004</v>
      </c>
      <c r="Z24" s="257">
        <v>0.64307000000000003</v>
      </c>
      <c r="AA24" s="257">
        <v>0.35693000000000003</v>
      </c>
      <c r="AB24" s="228">
        <v>7.7210000000000001</v>
      </c>
      <c r="AC24" s="228">
        <v>0.12336</v>
      </c>
      <c r="AD24" s="228">
        <v>0.87663999999999997</v>
      </c>
      <c r="AE24" s="228">
        <v>0.95299999999999996</v>
      </c>
      <c r="AF24" s="233">
        <v>7465.69</v>
      </c>
      <c r="AG24" s="228">
        <v>1.1000000000000001</v>
      </c>
      <c r="AH24" s="228">
        <v>1.0043</v>
      </c>
      <c r="AI24" s="298">
        <v>8.7849999999999994E-3</v>
      </c>
      <c r="AJ24" s="298">
        <v>8.1379999999999994E-3</v>
      </c>
      <c r="AK24" s="298">
        <v>8.0850000000000002E-3</v>
      </c>
      <c r="AL24" s="228">
        <v>1.0488090000000001</v>
      </c>
    </row>
    <row r="25" spans="3:38" x14ac:dyDescent="0.2">
      <c r="C25" s="2">
        <v>44958</v>
      </c>
      <c r="D25" s="2" t="s">
        <v>129</v>
      </c>
      <c r="E25" s="276" t="s">
        <v>48</v>
      </c>
      <c r="F25" s="227">
        <v>546</v>
      </c>
      <c r="G25" s="256">
        <v>0.72697000000000001</v>
      </c>
      <c r="H25" s="256">
        <v>5.9339999999999997E-2</v>
      </c>
      <c r="I25" s="256">
        <v>0.21368999999999999</v>
      </c>
      <c r="J25" s="258">
        <v>72.837000000000003</v>
      </c>
      <c r="K25" s="256">
        <v>0.54988000000000004</v>
      </c>
      <c r="L25" s="256">
        <v>0.45012000000000002</v>
      </c>
      <c r="M25" s="258">
        <v>11.917999999999999</v>
      </c>
      <c r="N25" s="256">
        <v>0.15295</v>
      </c>
      <c r="O25" s="256">
        <v>0.84704999999999997</v>
      </c>
      <c r="P25" s="258">
        <v>1.107</v>
      </c>
      <c r="Q25" s="253">
        <v>7940</v>
      </c>
      <c r="R25" s="229">
        <v>1.1000000000000001</v>
      </c>
      <c r="S25" s="254">
        <v>1.0046999999999999</v>
      </c>
      <c r="T25" s="276" t="s">
        <v>56</v>
      </c>
      <c r="U25" s="258">
        <v>523.88</v>
      </c>
      <c r="V25" s="229">
        <v>0.73073999999999995</v>
      </c>
      <c r="W25" s="229">
        <v>5.9639999999999999E-2</v>
      </c>
      <c r="X25" s="229">
        <v>0.20962</v>
      </c>
      <c r="Y25" s="258">
        <v>67.846000000000004</v>
      </c>
      <c r="Z25" s="256">
        <v>0.64307000000000003</v>
      </c>
      <c r="AA25" s="256">
        <v>0.35693000000000003</v>
      </c>
      <c r="AB25" s="258">
        <v>7.7210000000000001</v>
      </c>
      <c r="AC25" s="229">
        <v>0.12336</v>
      </c>
      <c r="AD25" s="229">
        <v>0.87663999999999997</v>
      </c>
      <c r="AE25" s="258">
        <v>0.95299999999999996</v>
      </c>
      <c r="AF25" s="253">
        <v>7465.69</v>
      </c>
      <c r="AG25" s="229">
        <v>1.1000000000000001</v>
      </c>
      <c r="AH25" s="229">
        <v>1.0043</v>
      </c>
      <c r="AI25" s="299">
        <v>8.7849999999999994E-3</v>
      </c>
      <c r="AJ25" s="299">
        <v>8.1379999999999994E-3</v>
      </c>
      <c r="AK25" s="299">
        <v>8.0850000000000002E-3</v>
      </c>
      <c r="AL25" s="229">
        <v>1.0488090000000001</v>
      </c>
    </row>
    <row r="26" spans="3:38" x14ac:dyDescent="0.2">
      <c r="C26" s="38">
        <v>44986</v>
      </c>
      <c r="D26" s="38" t="s">
        <v>129</v>
      </c>
      <c r="E26" s="301" t="s">
        <v>48</v>
      </c>
      <c r="F26" s="233">
        <v>546</v>
      </c>
      <c r="G26" s="257">
        <v>0.72697000000000001</v>
      </c>
      <c r="H26" s="257">
        <v>5.9339999999999997E-2</v>
      </c>
      <c r="I26" s="257">
        <v>0.21368999999999999</v>
      </c>
      <c r="J26" s="228">
        <v>72.837000000000003</v>
      </c>
      <c r="K26" s="257">
        <v>0.54988000000000004</v>
      </c>
      <c r="L26" s="257">
        <v>0.45012000000000002</v>
      </c>
      <c r="M26" s="228">
        <v>11.917999999999999</v>
      </c>
      <c r="N26" s="257">
        <v>0.15295</v>
      </c>
      <c r="O26" s="257">
        <v>0.84704999999999997</v>
      </c>
      <c r="P26" s="228">
        <v>1.107</v>
      </c>
      <c r="Q26" s="233">
        <v>7940</v>
      </c>
      <c r="R26" s="228">
        <v>1.1000000000000001</v>
      </c>
      <c r="S26" s="255">
        <v>1.0046999999999999</v>
      </c>
      <c r="T26" s="302" t="s">
        <v>56</v>
      </c>
      <c r="U26" s="228">
        <v>523.88</v>
      </c>
      <c r="V26" s="228">
        <v>0.73073999999999995</v>
      </c>
      <c r="W26" s="228">
        <v>5.9639999999999999E-2</v>
      </c>
      <c r="X26" s="228">
        <v>0.20962</v>
      </c>
      <c r="Y26" s="228">
        <v>67.846000000000004</v>
      </c>
      <c r="Z26" s="257">
        <v>0.64307000000000003</v>
      </c>
      <c r="AA26" s="257">
        <v>0.35693000000000003</v>
      </c>
      <c r="AB26" s="228">
        <v>7.7210000000000001</v>
      </c>
      <c r="AC26" s="228">
        <v>0.12336</v>
      </c>
      <c r="AD26" s="228">
        <v>0.87663999999999997</v>
      </c>
      <c r="AE26" s="228">
        <v>0.95299999999999996</v>
      </c>
      <c r="AF26" s="233">
        <v>7465.69</v>
      </c>
      <c r="AG26" s="228">
        <v>1.1000000000000001</v>
      </c>
      <c r="AH26" s="228">
        <v>1.0043</v>
      </c>
      <c r="AI26" s="298">
        <v>8.7849999999999994E-3</v>
      </c>
      <c r="AJ26" s="298">
        <v>8.1379999999999994E-3</v>
      </c>
      <c r="AK26" s="298">
        <v>8.0850000000000002E-3</v>
      </c>
      <c r="AL26" s="228">
        <v>1.0488090000000001</v>
      </c>
    </row>
    <row r="27" spans="3:38" x14ac:dyDescent="0.2">
      <c r="C27" s="2">
        <v>45017</v>
      </c>
      <c r="D27" s="2" t="s">
        <v>131</v>
      </c>
      <c r="E27" s="276" t="s">
        <v>48</v>
      </c>
      <c r="F27" s="227">
        <v>546</v>
      </c>
      <c r="G27" s="256">
        <v>0.72697000000000001</v>
      </c>
      <c r="H27" s="256">
        <v>5.9339999999999997E-2</v>
      </c>
      <c r="I27" s="256">
        <v>0.21368999999999999</v>
      </c>
      <c r="J27" s="258">
        <v>72.837000000000003</v>
      </c>
      <c r="K27" s="256">
        <v>0.54988000000000004</v>
      </c>
      <c r="L27" s="256">
        <v>0.45012000000000002</v>
      </c>
      <c r="M27" s="258">
        <v>11.917999999999999</v>
      </c>
      <c r="N27" s="256">
        <v>0.15295</v>
      </c>
      <c r="O27" s="256">
        <v>0.84704999999999997</v>
      </c>
      <c r="P27" s="258">
        <v>1.107</v>
      </c>
      <c r="Q27" s="253">
        <v>7790.34</v>
      </c>
      <c r="R27" s="229">
        <v>1.1000000000000001</v>
      </c>
      <c r="S27" s="254">
        <v>1.0046999999999999</v>
      </c>
      <c r="T27" s="276" t="s">
        <v>56</v>
      </c>
      <c r="U27" s="258">
        <v>523.88</v>
      </c>
      <c r="V27" s="229">
        <v>0.73073999999999995</v>
      </c>
      <c r="W27" s="229">
        <v>5.9639999999999999E-2</v>
      </c>
      <c r="X27" s="229">
        <v>0.20962</v>
      </c>
      <c r="Y27" s="258">
        <v>67.846000000000004</v>
      </c>
      <c r="Z27" s="256">
        <v>0.64307000000000003</v>
      </c>
      <c r="AA27" s="256">
        <v>0.35693000000000003</v>
      </c>
      <c r="AB27" s="258">
        <v>7.7210000000000001</v>
      </c>
      <c r="AC27" s="229">
        <v>0.12336</v>
      </c>
      <c r="AD27" s="229">
        <v>0.87663999999999997</v>
      </c>
      <c r="AE27" s="258">
        <v>0.95299999999999996</v>
      </c>
      <c r="AF27" s="253">
        <v>7318.15</v>
      </c>
      <c r="AG27" s="229">
        <v>1.1000000000000001</v>
      </c>
      <c r="AH27" s="229">
        <v>1.0043</v>
      </c>
      <c r="AI27" s="299">
        <v>8.7849999999999994E-3</v>
      </c>
      <c r="AJ27" s="299">
        <v>8.1379999999999994E-3</v>
      </c>
      <c r="AK27" s="299">
        <v>8.0850000000000002E-3</v>
      </c>
      <c r="AL27" s="229">
        <v>1.0488090000000001</v>
      </c>
    </row>
    <row r="28" spans="3:38" x14ac:dyDescent="0.2">
      <c r="C28" s="38">
        <v>45047</v>
      </c>
      <c r="D28" s="38" t="s">
        <v>131</v>
      </c>
      <c r="E28" s="301" t="s">
        <v>48</v>
      </c>
      <c r="F28" s="233">
        <v>546</v>
      </c>
      <c r="G28" s="257">
        <v>0.72697000000000001</v>
      </c>
      <c r="H28" s="257">
        <v>5.9339999999999997E-2</v>
      </c>
      <c r="I28" s="257">
        <v>0.21368999999999999</v>
      </c>
      <c r="J28" s="228">
        <v>72.837000000000003</v>
      </c>
      <c r="K28" s="257">
        <v>0.54988000000000004</v>
      </c>
      <c r="L28" s="257">
        <v>0.45012000000000002</v>
      </c>
      <c r="M28" s="228">
        <v>11.917999999999999</v>
      </c>
      <c r="N28" s="257">
        <v>0.15295</v>
      </c>
      <c r="O28" s="257">
        <v>0.84704999999999997</v>
      </c>
      <c r="P28" s="228">
        <v>1.107</v>
      </c>
      <c r="Q28" s="233">
        <v>7790.34</v>
      </c>
      <c r="R28" s="228">
        <v>1.1000000000000001</v>
      </c>
      <c r="S28" s="255">
        <v>1.0046999999999999</v>
      </c>
      <c r="T28" s="302" t="s">
        <v>56</v>
      </c>
      <c r="U28" s="228">
        <v>523.88</v>
      </c>
      <c r="V28" s="228">
        <v>0.73073999999999995</v>
      </c>
      <c r="W28" s="228">
        <v>5.9639999999999999E-2</v>
      </c>
      <c r="X28" s="228">
        <v>0.20962</v>
      </c>
      <c r="Y28" s="228">
        <v>67.846000000000004</v>
      </c>
      <c r="Z28" s="257">
        <v>0.64307000000000003</v>
      </c>
      <c r="AA28" s="257">
        <v>0.35693000000000003</v>
      </c>
      <c r="AB28" s="228">
        <v>7.7210000000000001</v>
      </c>
      <c r="AC28" s="228">
        <v>0.12336</v>
      </c>
      <c r="AD28" s="228">
        <v>0.87663999999999997</v>
      </c>
      <c r="AE28" s="228">
        <v>0.95299999999999996</v>
      </c>
      <c r="AF28" s="233">
        <v>7318.15</v>
      </c>
      <c r="AG28" s="228">
        <v>1.1000000000000001</v>
      </c>
      <c r="AH28" s="228">
        <v>1.0043</v>
      </c>
      <c r="AI28" s="298">
        <v>8.7849999999999994E-3</v>
      </c>
      <c r="AJ28" s="298">
        <v>8.1379999999999994E-3</v>
      </c>
      <c r="AK28" s="298">
        <v>8.0850000000000002E-3</v>
      </c>
      <c r="AL28" s="228">
        <v>1.0488090000000001</v>
      </c>
    </row>
    <row r="29" spans="3:38" x14ac:dyDescent="0.2">
      <c r="C29" s="2">
        <v>45078</v>
      </c>
      <c r="D29" s="2" t="s">
        <v>131</v>
      </c>
      <c r="E29" s="276" t="s">
        <v>48</v>
      </c>
      <c r="F29" s="227">
        <v>546</v>
      </c>
      <c r="G29" s="256">
        <v>0.72697000000000001</v>
      </c>
      <c r="H29" s="256">
        <v>5.9339999999999997E-2</v>
      </c>
      <c r="I29" s="256">
        <v>0.21368999999999999</v>
      </c>
      <c r="J29" s="258">
        <v>72.837000000000003</v>
      </c>
      <c r="K29" s="256">
        <v>0.54988000000000004</v>
      </c>
      <c r="L29" s="256">
        <v>0.45012000000000002</v>
      </c>
      <c r="M29" s="258">
        <v>11.917999999999999</v>
      </c>
      <c r="N29" s="256">
        <v>0.15295</v>
      </c>
      <c r="O29" s="256">
        <v>0.84704999999999997</v>
      </c>
      <c r="P29" s="258">
        <v>1.107</v>
      </c>
      <c r="Q29" s="253">
        <v>7790.34</v>
      </c>
      <c r="R29" s="229">
        <v>1.1000000000000001</v>
      </c>
      <c r="S29" s="254">
        <v>1.0046999999999999</v>
      </c>
      <c r="T29" s="276" t="s">
        <v>56</v>
      </c>
      <c r="U29" s="258">
        <v>523.88</v>
      </c>
      <c r="V29" s="229">
        <v>0.73073999999999995</v>
      </c>
      <c r="W29" s="229">
        <v>5.9639999999999999E-2</v>
      </c>
      <c r="X29" s="229">
        <v>0.20962</v>
      </c>
      <c r="Y29" s="258">
        <v>67.846000000000004</v>
      </c>
      <c r="Z29" s="256">
        <v>0.64307000000000003</v>
      </c>
      <c r="AA29" s="256">
        <v>0.35693000000000003</v>
      </c>
      <c r="AB29" s="258">
        <v>7.7210000000000001</v>
      </c>
      <c r="AC29" s="229">
        <v>0.12336</v>
      </c>
      <c r="AD29" s="229">
        <v>0.87663999999999997</v>
      </c>
      <c r="AE29" s="258">
        <v>0.95299999999999996</v>
      </c>
      <c r="AF29" s="253">
        <v>7318.15</v>
      </c>
      <c r="AG29" s="229">
        <v>1.1000000000000001</v>
      </c>
      <c r="AH29" s="229">
        <v>1.0043</v>
      </c>
      <c r="AI29" s="299">
        <v>8.7849999999999994E-3</v>
      </c>
      <c r="AJ29" s="299">
        <v>8.1379999999999994E-3</v>
      </c>
      <c r="AK29" s="299">
        <v>8.0850000000000002E-3</v>
      </c>
      <c r="AL29" s="229">
        <v>1.0488090000000001</v>
      </c>
    </row>
    <row r="30" spans="3:38" x14ac:dyDescent="0.2">
      <c r="C30" s="38">
        <v>45108</v>
      </c>
      <c r="D30" s="38" t="s">
        <v>131</v>
      </c>
      <c r="E30" s="301" t="s">
        <v>48</v>
      </c>
      <c r="F30" s="233">
        <v>546</v>
      </c>
      <c r="G30" s="257">
        <v>0.72697000000000001</v>
      </c>
      <c r="H30" s="257">
        <v>5.9339999999999997E-2</v>
      </c>
      <c r="I30" s="257">
        <v>0.21368999999999999</v>
      </c>
      <c r="J30" s="228">
        <v>72.837000000000003</v>
      </c>
      <c r="K30" s="257">
        <v>0.54988000000000004</v>
      </c>
      <c r="L30" s="257">
        <v>0.45012000000000002</v>
      </c>
      <c r="M30" s="228">
        <v>11.917999999999999</v>
      </c>
      <c r="N30" s="257">
        <v>0.15295</v>
      </c>
      <c r="O30" s="257">
        <v>0.84704999999999997</v>
      </c>
      <c r="P30" s="228">
        <v>1.107</v>
      </c>
      <c r="Q30" s="233">
        <v>7790.34</v>
      </c>
      <c r="R30" s="228">
        <v>1.1000000000000001</v>
      </c>
      <c r="S30" s="255">
        <v>1.0046999999999999</v>
      </c>
      <c r="T30" s="302" t="s">
        <v>56</v>
      </c>
      <c r="U30" s="228">
        <v>523.88</v>
      </c>
      <c r="V30" s="228">
        <v>0.73073999999999995</v>
      </c>
      <c r="W30" s="228">
        <v>5.9639999999999999E-2</v>
      </c>
      <c r="X30" s="228">
        <v>0.20962</v>
      </c>
      <c r="Y30" s="228">
        <v>67.846000000000004</v>
      </c>
      <c r="Z30" s="257">
        <v>0.64307000000000003</v>
      </c>
      <c r="AA30" s="257">
        <v>0.35693000000000003</v>
      </c>
      <c r="AB30" s="228">
        <v>7.7210000000000001</v>
      </c>
      <c r="AC30" s="228">
        <v>0.12336</v>
      </c>
      <c r="AD30" s="228">
        <v>0.87663999999999997</v>
      </c>
      <c r="AE30" s="228">
        <v>0.95299999999999996</v>
      </c>
      <c r="AF30" s="233">
        <v>7318.15</v>
      </c>
      <c r="AG30" s="228">
        <v>1.1000000000000001</v>
      </c>
      <c r="AH30" s="228">
        <v>1.0043</v>
      </c>
      <c r="AI30" s="298">
        <v>8.7849999999999994E-3</v>
      </c>
      <c r="AJ30" s="298">
        <v>8.1379999999999994E-3</v>
      </c>
      <c r="AK30" s="298">
        <v>8.0850000000000002E-3</v>
      </c>
      <c r="AL30" s="228">
        <v>1.0488090000000001</v>
      </c>
    </row>
    <row r="31" spans="3:38" x14ac:dyDescent="0.2">
      <c r="C31" s="2">
        <v>45139</v>
      </c>
      <c r="D31" s="2" t="s">
        <v>132</v>
      </c>
      <c r="E31" s="276" t="s">
        <v>48</v>
      </c>
      <c r="F31" s="227">
        <v>546</v>
      </c>
      <c r="G31" s="256">
        <v>0.72697000000000001</v>
      </c>
      <c r="H31" s="256">
        <v>5.9339999999999997E-2</v>
      </c>
      <c r="I31" s="256">
        <v>0.21368999999999999</v>
      </c>
      <c r="J31" s="258">
        <v>72.837000000000003</v>
      </c>
      <c r="K31" s="256">
        <v>0.54988000000000004</v>
      </c>
      <c r="L31" s="256">
        <v>0.45012000000000002</v>
      </c>
      <c r="M31" s="258">
        <v>11.917999999999999</v>
      </c>
      <c r="N31" s="256">
        <v>0.15295</v>
      </c>
      <c r="O31" s="256">
        <v>0.84704999999999997</v>
      </c>
      <c r="P31" s="258">
        <v>1.107</v>
      </c>
      <c r="Q31" s="253">
        <v>7127.88</v>
      </c>
      <c r="R31" s="229">
        <v>1.1000000000000001</v>
      </c>
      <c r="S31" s="254">
        <v>1.0046999999999999</v>
      </c>
      <c r="T31" s="276" t="s">
        <v>56</v>
      </c>
      <c r="U31" s="258">
        <v>523.88</v>
      </c>
      <c r="V31" s="229">
        <v>0.73073999999999995</v>
      </c>
      <c r="W31" s="229">
        <v>5.9639999999999999E-2</v>
      </c>
      <c r="X31" s="229">
        <v>0.20962</v>
      </c>
      <c r="Y31" s="258">
        <v>67.846000000000004</v>
      </c>
      <c r="Z31" s="256">
        <v>0.64307000000000003</v>
      </c>
      <c r="AA31" s="256">
        <v>0.35693000000000003</v>
      </c>
      <c r="AB31" s="258">
        <v>7.7210000000000001</v>
      </c>
      <c r="AC31" s="229">
        <v>0.12336</v>
      </c>
      <c r="AD31" s="229">
        <v>0.87663999999999997</v>
      </c>
      <c r="AE31" s="258">
        <v>0.95299999999999996</v>
      </c>
      <c r="AF31" s="253">
        <v>6664.12</v>
      </c>
      <c r="AG31" s="229">
        <v>1.1000000000000001</v>
      </c>
      <c r="AH31" s="229">
        <v>1.0043</v>
      </c>
      <c r="AI31" s="299">
        <v>8.7849999999999994E-3</v>
      </c>
      <c r="AJ31" s="299">
        <v>8.1379999999999994E-3</v>
      </c>
      <c r="AK31" s="299">
        <v>8.0850000000000002E-3</v>
      </c>
      <c r="AL31" s="229">
        <v>1.0488090000000001</v>
      </c>
    </row>
    <row r="32" spans="3:38" x14ac:dyDescent="0.2">
      <c r="C32" s="38">
        <v>45170</v>
      </c>
      <c r="D32" s="38" t="s">
        <v>132</v>
      </c>
      <c r="E32" s="275" t="s">
        <v>48</v>
      </c>
      <c r="F32" s="233">
        <v>546</v>
      </c>
      <c r="G32" s="257">
        <v>0.72697000000000001</v>
      </c>
      <c r="H32" s="257">
        <v>5.9339999999999997E-2</v>
      </c>
      <c r="I32" s="257">
        <v>0.21368999999999999</v>
      </c>
      <c r="J32" s="228">
        <v>72.837000000000003</v>
      </c>
      <c r="K32" s="257">
        <v>0.54988000000000004</v>
      </c>
      <c r="L32" s="257">
        <v>0.45012000000000002</v>
      </c>
      <c r="M32" s="228">
        <v>11.917999999999999</v>
      </c>
      <c r="N32" s="257">
        <v>0.15295</v>
      </c>
      <c r="O32" s="257">
        <v>0.84704999999999997</v>
      </c>
      <c r="P32" s="228">
        <v>1.107</v>
      </c>
      <c r="Q32" s="233">
        <v>7127.88</v>
      </c>
      <c r="R32" s="228">
        <v>1.1000000000000001</v>
      </c>
      <c r="S32" s="255">
        <v>1.0046999999999999</v>
      </c>
      <c r="T32" s="275" t="s">
        <v>56</v>
      </c>
      <c r="U32" s="228">
        <v>523.88</v>
      </c>
      <c r="V32" s="228">
        <v>0.73073999999999995</v>
      </c>
      <c r="W32" s="228">
        <v>5.9639999999999999E-2</v>
      </c>
      <c r="X32" s="228">
        <v>0.20962</v>
      </c>
      <c r="Y32" s="228">
        <v>67.846000000000004</v>
      </c>
      <c r="Z32" s="257">
        <v>0.64307000000000003</v>
      </c>
      <c r="AA32" s="257">
        <v>0.35693000000000003</v>
      </c>
      <c r="AB32" s="228">
        <v>7.7210000000000001</v>
      </c>
      <c r="AC32" s="228">
        <v>0.12336</v>
      </c>
      <c r="AD32" s="228">
        <v>0.87663999999999997</v>
      </c>
      <c r="AE32" s="228">
        <v>0.95299999999999996</v>
      </c>
      <c r="AF32" s="233">
        <v>6664.12</v>
      </c>
      <c r="AG32" s="228">
        <v>1.1000000000000001</v>
      </c>
      <c r="AH32" s="228">
        <v>1.0043</v>
      </c>
      <c r="AI32" s="298">
        <v>8.7849999999999994E-3</v>
      </c>
      <c r="AJ32" s="298">
        <v>8.1379999999999994E-3</v>
      </c>
      <c r="AK32" s="298">
        <v>8.0850000000000002E-3</v>
      </c>
      <c r="AL32" s="228">
        <v>1.0488090000000001</v>
      </c>
    </row>
    <row r="33" spans="3:38" x14ac:dyDescent="0.2">
      <c r="C33" s="2">
        <v>45200</v>
      </c>
      <c r="D33" s="2" t="s">
        <v>135</v>
      </c>
      <c r="E33" s="276" t="s">
        <v>48</v>
      </c>
      <c r="F33" s="227">
        <v>546</v>
      </c>
      <c r="G33" s="256">
        <v>0.72697000000000001</v>
      </c>
      <c r="H33" s="256">
        <v>5.9339999999999997E-2</v>
      </c>
      <c r="I33" s="256">
        <v>0.21368999999999999</v>
      </c>
      <c r="J33" s="258">
        <v>72.837000000000003</v>
      </c>
      <c r="K33" s="256">
        <v>0.54988000000000004</v>
      </c>
      <c r="L33" s="256">
        <v>0.45012000000000002</v>
      </c>
      <c r="M33" s="258">
        <v>11.917999999999999</v>
      </c>
      <c r="N33" s="256">
        <v>0.15295</v>
      </c>
      <c r="O33" s="256">
        <v>0.84704999999999997</v>
      </c>
      <c r="P33" s="258">
        <v>1.107</v>
      </c>
      <c r="Q33" s="253">
        <v>7110.69</v>
      </c>
      <c r="R33" s="229">
        <v>1.1000000000000001</v>
      </c>
      <c r="S33" s="254">
        <v>1.0046999999999999</v>
      </c>
      <c r="T33" s="276" t="s">
        <v>56</v>
      </c>
      <c r="U33" s="258">
        <v>523.88</v>
      </c>
      <c r="V33" s="229">
        <v>0.73073999999999995</v>
      </c>
      <c r="W33" s="229">
        <v>5.9639999999999999E-2</v>
      </c>
      <c r="X33" s="229">
        <v>0.20962</v>
      </c>
      <c r="Y33" s="258">
        <v>67.846000000000004</v>
      </c>
      <c r="Z33" s="256">
        <v>0.64307000000000003</v>
      </c>
      <c r="AA33" s="256">
        <v>0.35693000000000003</v>
      </c>
      <c r="AB33" s="258">
        <v>7.7210000000000001</v>
      </c>
      <c r="AC33" s="229">
        <v>0.12336</v>
      </c>
      <c r="AD33" s="229">
        <v>0.87663999999999997</v>
      </c>
      <c r="AE33" s="258">
        <v>0.95299999999999996</v>
      </c>
      <c r="AF33" s="253">
        <v>6646.68</v>
      </c>
      <c r="AG33" s="229">
        <v>1.1000000000000001</v>
      </c>
      <c r="AH33" s="229">
        <v>1.0043</v>
      </c>
      <c r="AI33" s="299">
        <v>8.7849999999999994E-3</v>
      </c>
      <c r="AJ33" s="299">
        <v>8.1379999999999994E-3</v>
      </c>
      <c r="AK33" s="299">
        <v>8.0850000000000002E-3</v>
      </c>
      <c r="AL33" s="229">
        <v>1.0488090000000001</v>
      </c>
    </row>
    <row r="34" spans="3:38" x14ac:dyDescent="0.2">
      <c r="C34" s="38">
        <v>45231</v>
      </c>
      <c r="D34" s="38" t="s">
        <v>135</v>
      </c>
      <c r="E34" s="275" t="s">
        <v>48</v>
      </c>
      <c r="F34" s="233">
        <v>546</v>
      </c>
      <c r="G34" s="257">
        <v>0.72697000000000001</v>
      </c>
      <c r="H34" s="257">
        <v>5.9339999999999997E-2</v>
      </c>
      <c r="I34" s="257">
        <v>0.21368999999999999</v>
      </c>
      <c r="J34" s="228">
        <v>72.837000000000003</v>
      </c>
      <c r="K34" s="257">
        <v>0.54988000000000004</v>
      </c>
      <c r="L34" s="257">
        <v>0.45012000000000002</v>
      </c>
      <c r="M34" s="228">
        <v>11.917999999999999</v>
      </c>
      <c r="N34" s="257">
        <v>0.15295</v>
      </c>
      <c r="O34" s="257">
        <v>0.84704999999999997</v>
      </c>
      <c r="P34" s="228">
        <v>1.107</v>
      </c>
      <c r="Q34" s="233">
        <v>7110.69</v>
      </c>
      <c r="R34" s="228">
        <v>1.1000000000000001</v>
      </c>
      <c r="S34" s="255">
        <v>1.0046999999999999</v>
      </c>
      <c r="T34" s="275" t="s">
        <v>56</v>
      </c>
      <c r="U34" s="228">
        <v>523.88</v>
      </c>
      <c r="V34" s="228">
        <v>0.73073999999999995</v>
      </c>
      <c r="W34" s="228">
        <v>5.9639999999999999E-2</v>
      </c>
      <c r="X34" s="228">
        <v>0.20962</v>
      </c>
      <c r="Y34" s="228">
        <v>67.846000000000004</v>
      </c>
      <c r="Z34" s="257">
        <v>0.64307000000000003</v>
      </c>
      <c r="AA34" s="257">
        <v>0.35693000000000003</v>
      </c>
      <c r="AB34" s="228">
        <v>7.7210000000000001</v>
      </c>
      <c r="AC34" s="228">
        <v>0.12336</v>
      </c>
      <c r="AD34" s="228">
        <v>0.87663999999999997</v>
      </c>
      <c r="AE34" s="228">
        <v>0.95299999999999996</v>
      </c>
      <c r="AF34" s="233">
        <v>6646.68</v>
      </c>
      <c r="AG34" s="228">
        <v>1.1000000000000001</v>
      </c>
      <c r="AH34" s="228">
        <v>1.0043</v>
      </c>
      <c r="AI34" s="298">
        <v>8.7849999999999994E-3</v>
      </c>
      <c r="AJ34" s="298">
        <v>8.1379999999999994E-3</v>
      </c>
      <c r="AK34" s="298">
        <v>8.0850000000000002E-3</v>
      </c>
      <c r="AL34" s="228">
        <v>1.0488090000000001</v>
      </c>
    </row>
    <row r="35" spans="3:38" x14ac:dyDescent="0.2">
      <c r="C35" s="2">
        <v>45261</v>
      </c>
      <c r="D35" s="2" t="s">
        <v>135</v>
      </c>
      <c r="E35" s="276" t="s">
        <v>48</v>
      </c>
      <c r="F35" s="227">
        <v>546</v>
      </c>
      <c r="G35" s="256">
        <v>0.72697000000000001</v>
      </c>
      <c r="H35" s="256">
        <v>5.9339999999999997E-2</v>
      </c>
      <c r="I35" s="256">
        <v>0.21368999999999999</v>
      </c>
      <c r="J35" s="258">
        <v>72.837000000000003</v>
      </c>
      <c r="K35" s="256">
        <v>0.54988000000000004</v>
      </c>
      <c r="L35" s="256">
        <v>0.45012000000000002</v>
      </c>
      <c r="M35" s="258">
        <v>11.917999999999999</v>
      </c>
      <c r="N35" s="256">
        <v>0.15295</v>
      </c>
      <c r="O35" s="256">
        <v>0.84704999999999997</v>
      </c>
      <c r="P35" s="258">
        <v>1.107</v>
      </c>
      <c r="Q35" s="253">
        <v>7110.69</v>
      </c>
      <c r="R35" s="229">
        <v>1.1000000000000001</v>
      </c>
      <c r="S35" s="254">
        <v>1.0046999999999999</v>
      </c>
      <c r="T35" s="276" t="s">
        <v>56</v>
      </c>
      <c r="U35" s="258">
        <v>523.88</v>
      </c>
      <c r="V35" s="229">
        <v>0.73073999999999995</v>
      </c>
      <c r="W35" s="229">
        <v>5.9639999999999999E-2</v>
      </c>
      <c r="X35" s="229">
        <v>0.20962</v>
      </c>
      <c r="Y35" s="258">
        <v>67.846000000000004</v>
      </c>
      <c r="Z35" s="256">
        <v>0.64307000000000003</v>
      </c>
      <c r="AA35" s="256">
        <v>0.35693000000000003</v>
      </c>
      <c r="AB35" s="258">
        <v>7.7210000000000001</v>
      </c>
      <c r="AC35" s="229">
        <v>0.12336</v>
      </c>
      <c r="AD35" s="229">
        <v>0.87663999999999997</v>
      </c>
      <c r="AE35" s="258">
        <v>0.95299999999999996</v>
      </c>
      <c r="AF35" s="253">
        <v>6646.68</v>
      </c>
      <c r="AG35" s="229">
        <v>1.1000000000000001</v>
      </c>
      <c r="AH35" s="229">
        <v>1.0043</v>
      </c>
      <c r="AI35" s="299">
        <v>8.7849999999999994E-3</v>
      </c>
      <c r="AJ35" s="299">
        <v>8.1379999999999994E-3</v>
      </c>
      <c r="AK35" s="299">
        <v>8.0850000000000002E-3</v>
      </c>
      <c r="AL35" s="229">
        <v>1.0488090000000001</v>
      </c>
    </row>
    <row r="36" spans="3:38" x14ac:dyDescent="0.2">
      <c r="C36" s="38">
        <v>45292</v>
      </c>
      <c r="D36" s="38" t="s">
        <v>135</v>
      </c>
      <c r="E36" s="275" t="s">
        <v>48</v>
      </c>
      <c r="F36" s="233">
        <v>546</v>
      </c>
      <c r="G36" s="257">
        <v>0.72697000000000001</v>
      </c>
      <c r="H36" s="257">
        <v>5.9339999999999997E-2</v>
      </c>
      <c r="I36" s="257">
        <v>0.21368999999999999</v>
      </c>
      <c r="J36" s="228">
        <v>72.837000000000003</v>
      </c>
      <c r="K36" s="257">
        <v>0.54988000000000004</v>
      </c>
      <c r="L36" s="257">
        <v>0.45012000000000002</v>
      </c>
      <c r="M36" s="228">
        <v>11.917999999999999</v>
      </c>
      <c r="N36" s="257">
        <v>0.15295</v>
      </c>
      <c r="O36" s="257">
        <v>0.84704999999999997</v>
      </c>
      <c r="P36" s="228">
        <v>1.107</v>
      </c>
      <c r="Q36" s="233">
        <v>7110.69</v>
      </c>
      <c r="R36" s="228">
        <v>1.1000000000000001</v>
      </c>
      <c r="S36" s="255">
        <v>1.0046999999999999</v>
      </c>
      <c r="T36" s="275" t="s">
        <v>56</v>
      </c>
      <c r="U36" s="228">
        <v>523.88</v>
      </c>
      <c r="V36" s="228">
        <v>0.73073999999999995</v>
      </c>
      <c r="W36" s="228">
        <v>5.9639999999999999E-2</v>
      </c>
      <c r="X36" s="228">
        <v>0.20962</v>
      </c>
      <c r="Y36" s="228">
        <v>67.846000000000004</v>
      </c>
      <c r="Z36" s="257">
        <v>0.64307000000000003</v>
      </c>
      <c r="AA36" s="257">
        <v>0.35693000000000003</v>
      </c>
      <c r="AB36" s="228">
        <v>7.7210000000000001</v>
      </c>
      <c r="AC36" s="228">
        <v>0.12336</v>
      </c>
      <c r="AD36" s="228">
        <v>0.87663999999999997</v>
      </c>
      <c r="AE36" s="228">
        <v>0.95299999999999996</v>
      </c>
      <c r="AF36" s="233">
        <v>6646.68</v>
      </c>
      <c r="AG36" s="228">
        <v>1.1000000000000001</v>
      </c>
      <c r="AH36" s="228">
        <v>1.0043</v>
      </c>
      <c r="AI36" s="298">
        <v>8.7849999999999994E-3</v>
      </c>
      <c r="AJ36" s="298">
        <v>8.1379999999999994E-3</v>
      </c>
      <c r="AK36" s="298">
        <v>8.0850000000000002E-3</v>
      </c>
      <c r="AL36" s="228">
        <v>1.0488090000000001</v>
      </c>
    </row>
    <row r="37" spans="3:38" x14ac:dyDescent="0.2">
      <c r="C37" s="2">
        <v>45323</v>
      </c>
      <c r="D37" s="2" t="s">
        <v>135</v>
      </c>
      <c r="E37" s="276" t="s">
        <v>48</v>
      </c>
      <c r="F37" s="227">
        <v>546</v>
      </c>
      <c r="G37" s="256">
        <v>0.72697000000000001</v>
      </c>
      <c r="H37" s="256">
        <v>5.9339999999999997E-2</v>
      </c>
      <c r="I37" s="256">
        <v>0.21368999999999999</v>
      </c>
      <c r="J37" s="258">
        <v>72.837000000000003</v>
      </c>
      <c r="K37" s="256">
        <v>0.54988000000000004</v>
      </c>
      <c r="L37" s="256">
        <v>0.45012000000000002</v>
      </c>
      <c r="M37" s="258">
        <v>11.917999999999999</v>
      </c>
      <c r="N37" s="256">
        <v>0.15295</v>
      </c>
      <c r="O37" s="256">
        <v>0.84704999999999997</v>
      </c>
      <c r="P37" s="258">
        <v>1.107</v>
      </c>
      <c r="Q37" s="253">
        <v>7110.69</v>
      </c>
      <c r="R37" s="229">
        <v>1.1000000000000001</v>
      </c>
      <c r="S37" s="254">
        <v>1.0046999999999999</v>
      </c>
      <c r="T37" s="276" t="s">
        <v>56</v>
      </c>
      <c r="U37" s="258">
        <v>523.88</v>
      </c>
      <c r="V37" s="229">
        <v>0.73073999999999995</v>
      </c>
      <c r="W37" s="229">
        <v>5.9639999999999999E-2</v>
      </c>
      <c r="X37" s="229">
        <v>0.20962</v>
      </c>
      <c r="Y37" s="258">
        <v>67.846000000000004</v>
      </c>
      <c r="Z37" s="256">
        <v>0.64307000000000003</v>
      </c>
      <c r="AA37" s="256">
        <v>0.35693000000000003</v>
      </c>
      <c r="AB37" s="258">
        <v>7.7210000000000001</v>
      </c>
      <c r="AC37" s="229">
        <v>0.12336</v>
      </c>
      <c r="AD37" s="229">
        <v>0.87663999999999997</v>
      </c>
      <c r="AE37" s="258">
        <v>0.95299999999999996</v>
      </c>
      <c r="AF37" s="253">
        <v>6646.68</v>
      </c>
      <c r="AG37" s="229">
        <v>1.1000000000000001</v>
      </c>
      <c r="AH37" s="229">
        <v>1.0043</v>
      </c>
      <c r="AI37" s="299">
        <v>8.7849999999999994E-3</v>
      </c>
      <c r="AJ37" s="299">
        <v>8.1379999999999994E-3</v>
      </c>
      <c r="AK37" s="299">
        <v>8.0850000000000002E-3</v>
      </c>
      <c r="AL37" s="229">
        <v>1.0488090000000001</v>
      </c>
    </row>
    <row r="38" spans="3:38" x14ac:dyDescent="0.2">
      <c r="C38" s="38">
        <v>45352</v>
      </c>
      <c r="D38" s="38" t="s">
        <v>137</v>
      </c>
      <c r="E38" s="275" t="s">
        <v>48</v>
      </c>
      <c r="F38" s="233">
        <v>546</v>
      </c>
      <c r="G38" s="257">
        <v>0.72697000000000001</v>
      </c>
      <c r="H38" s="257">
        <v>5.9339999999999997E-2</v>
      </c>
      <c r="I38" s="257">
        <v>0.21368999999999999</v>
      </c>
      <c r="J38" s="228">
        <v>72.837000000000003</v>
      </c>
      <c r="K38" s="257">
        <v>0.54988000000000004</v>
      </c>
      <c r="L38" s="257">
        <v>0.45012000000000002</v>
      </c>
      <c r="M38" s="228">
        <v>11.917999999999999</v>
      </c>
      <c r="N38" s="257">
        <v>0.15295</v>
      </c>
      <c r="O38" s="257">
        <v>0.84704999999999997</v>
      </c>
      <c r="P38" s="228">
        <v>1.107</v>
      </c>
      <c r="Q38" s="233">
        <v>7962.71</v>
      </c>
      <c r="R38" s="228">
        <v>1.1000000000000001</v>
      </c>
      <c r="S38" s="255">
        <v>1.0046999999999999</v>
      </c>
      <c r="T38" s="275" t="s">
        <v>56</v>
      </c>
      <c r="U38" s="228">
        <v>523.88</v>
      </c>
      <c r="V38" s="228">
        <v>0.73073999999999995</v>
      </c>
      <c r="W38" s="228">
        <v>5.9639999999999999E-2</v>
      </c>
      <c r="X38" s="228">
        <v>0.20962</v>
      </c>
      <c r="Y38" s="228">
        <v>67.846000000000004</v>
      </c>
      <c r="Z38" s="257">
        <v>0.64307000000000003</v>
      </c>
      <c r="AA38" s="257">
        <v>0.35693000000000003</v>
      </c>
      <c r="AB38" s="228">
        <v>7.7210000000000001</v>
      </c>
      <c r="AC38" s="228">
        <v>0.12336</v>
      </c>
      <c r="AD38" s="228">
        <v>0.87663999999999997</v>
      </c>
      <c r="AE38" s="228">
        <v>0.95299999999999996</v>
      </c>
      <c r="AF38" s="233">
        <v>7467.85</v>
      </c>
      <c r="AG38" s="228">
        <v>1.1000000000000001</v>
      </c>
      <c r="AH38" s="228">
        <v>1.0043</v>
      </c>
      <c r="AI38" s="298">
        <v>8.7849999999999994E-3</v>
      </c>
      <c r="AJ38" s="298">
        <v>8.1379999999999994E-3</v>
      </c>
      <c r="AK38" s="298">
        <v>8.0850000000000002E-3</v>
      </c>
      <c r="AL38" s="228">
        <v>1.0488090000000001</v>
      </c>
    </row>
    <row r="39" spans="3:38" x14ac:dyDescent="0.2">
      <c r="C39" s="2">
        <v>45383</v>
      </c>
      <c r="D39" s="2" t="s">
        <v>138</v>
      </c>
      <c r="E39" s="276" t="s">
        <v>48</v>
      </c>
      <c r="F39" s="227">
        <v>546</v>
      </c>
      <c r="G39" s="256">
        <v>0.72697000000000001</v>
      </c>
      <c r="H39" s="256">
        <v>5.9339999999999997E-2</v>
      </c>
      <c r="I39" s="256">
        <v>0.21368999999999999</v>
      </c>
      <c r="J39" s="258">
        <v>72.837000000000003</v>
      </c>
      <c r="K39" s="256">
        <v>0.54988000000000004</v>
      </c>
      <c r="L39" s="256">
        <v>0.45012000000000002</v>
      </c>
      <c r="M39" s="258">
        <v>11.917999999999999</v>
      </c>
      <c r="N39" s="256">
        <v>0.15295</v>
      </c>
      <c r="O39" s="256">
        <v>0.84704999999999997</v>
      </c>
      <c r="P39" s="258">
        <v>1.107</v>
      </c>
      <c r="Q39" s="253">
        <v>7793.57</v>
      </c>
      <c r="R39" s="229">
        <v>1.1000000000000001</v>
      </c>
      <c r="S39" s="254">
        <v>1.0046999999999999</v>
      </c>
      <c r="T39" s="276" t="s">
        <v>56</v>
      </c>
      <c r="U39" s="258">
        <v>523.88</v>
      </c>
      <c r="V39" s="229">
        <v>0.73073999999999995</v>
      </c>
      <c r="W39" s="229">
        <v>5.9639999999999999E-2</v>
      </c>
      <c r="X39" s="229">
        <v>0.20962</v>
      </c>
      <c r="Y39" s="258">
        <v>67.846000000000004</v>
      </c>
      <c r="Z39" s="256">
        <v>0.64307000000000003</v>
      </c>
      <c r="AA39" s="256">
        <v>0.35693000000000003</v>
      </c>
      <c r="AB39" s="258">
        <v>7.7210000000000001</v>
      </c>
      <c r="AC39" s="229">
        <v>0.12336</v>
      </c>
      <c r="AD39" s="229">
        <v>0.87663999999999997</v>
      </c>
      <c r="AE39" s="258">
        <v>0.95299999999999996</v>
      </c>
      <c r="AF39" s="253">
        <v>7303.36</v>
      </c>
      <c r="AG39" s="229">
        <v>1.1000000000000001</v>
      </c>
      <c r="AH39" s="229">
        <v>1.0043</v>
      </c>
      <c r="AI39" s="299">
        <v>8.7849999999999994E-3</v>
      </c>
      <c r="AJ39" s="299">
        <v>8.1379999999999994E-3</v>
      </c>
      <c r="AK39" s="299">
        <v>8.0850000000000002E-3</v>
      </c>
      <c r="AL39" s="229">
        <v>1.0488090000000001</v>
      </c>
    </row>
    <row r="40" spans="3:38" x14ac:dyDescent="0.2">
      <c r="C40" s="38">
        <v>45413</v>
      </c>
      <c r="D40" s="38" t="s">
        <v>138</v>
      </c>
      <c r="E40" s="275" t="s">
        <v>48</v>
      </c>
      <c r="F40" s="233">
        <v>546</v>
      </c>
      <c r="G40" s="257">
        <v>0.72697000000000001</v>
      </c>
      <c r="H40" s="257">
        <v>5.9339999999999997E-2</v>
      </c>
      <c r="I40" s="257">
        <v>0.21368999999999999</v>
      </c>
      <c r="J40" s="228">
        <v>72.837000000000003</v>
      </c>
      <c r="K40" s="257">
        <v>0.54988000000000004</v>
      </c>
      <c r="L40" s="257">
        <v>0.45012000000000002</v>
      </c>
      <c r="M40" s="228">
        <v>11.917999999999999</v>
      </c>
      <c r="N40" s="257">
        <v>0.15295</v>
      </c>
      <c r="O40" s="257">
        <v>0.84704999999999997</v>
      </c>
      <c r="P40" s="228">
        <v>1.107</v>
      </c>
      <c r="Q40" s="233">
        <v>7793.57</v>
      </c>
      <c r="R40" s="228">
        <v>1.1000000000000001</v>
      </c>
      <c r="S40" s="255">
        <v>1.0046999999999999</v>
      </c>
      <c r="T40" s="275" t="s">
        <v>56</v>
      </c>
      <c r="U40" s="228">
        <v>523.88</v>
      </c>
      <c r="V40" s="228">
        <v>0.73073999999999995</v>
      </c>
      <c r="W40" s="228">
        <v>5.9639999999999999E-2</v>
      </c>
      <c r="X40" s="228">
        <v>0.20962</v>
      </c>
      <c r="Y40" s="228">
        <v>67.846000000000004</v>
      </c>
      <c r="Z40" s="257">
        <v>0.64307000000000003</v>
      </c>
      <c r="AA40" s="257">
        <v>0.35693000000000003</v>
      </c>
      <c r="AB40" s="228">
        <v>7.7210000000000001</v>
      </c>
      <c r="AC40" s="228">
        <v>0.12336</v>
      </c>
      <c r="AD40" s="228">
        <v>0.87663999999999997</v>
      </c>
      <c r="AE40" s="228">
        <v>0.95299999999999996</v>
      </c>
      <c r="AF40" s="233">
        <v>7303.36</v>
      </c>
      <c r="AG40" s="228">
        <v>1.1000000000000001</v>
      </c>
      <c r="AH40" s="228">
        <v>1.0043</v>
      </c>
      <c r="AI40" s="298">
        <v>8.7849999999999994E-3</v>
      </c>
      <c r="AJ40" s="298">
        <v>8.1379999999999994E-3</v>
      </c>
      <c r="AK40" s="298">
        <v>8.0850000000000002E-3</v>
      </c>
      <c r="AL40" s="228">
        <v>1.0488090000000001</v>
      </c>
    </row>
    <row r="41" spans="3:38" x14ac:dyDescent="0.2">
      <c r="C41" s="2">
        <v>45444</v>
      </c>
      <c r="D41" s="2" t="s">
        <v>138</v>
      </c>
      <c r="E41" s="276" t="s">
        <v>48</v>
      </c>
      <c r="F41" s="227">
        <v>546</v>
      </c>
      <c r="G41" s="256">
        <v>0.72697000000000001</v>
      </c>
      <c r="H41" s="256">
        <v>5.9339999999999997E-2</v>
      </c>
      <c r="I41" s="256">
        <v>0.21368999999999999</v>
      </c>
      <c r="J41" s="258">
        <v>72.837000000000003</v>
      </c>
      <c r="K41" s="256">
        <v>0.54988000000000004</v>
      </c>
      <c r="L41" s="256">
        <v>0.45012000000000002</v>
      </c>
      <c r="M41" s="258">
        <v>11.917999999999999</v>
      </c>
      <c r="N41" s="256">
        <v>0.15295</v>
      </c>
      <c r="O41" s="256">
        <v>0.84704999999999997</v>
      </c>
      <c r="P41" s="258">
        <v>1.107</v>
      </c>
      <c r="Q41" s="253">
        <v>7793.57</v>
      </c>
      <c r="R41" s="229">
        <v>1.1000000000000001</v>
      </c>
      <c r="S41" s="254">
        <v>1.0046999999999999</v>
      </c>
      <c r="T41" s="276" t="s">
        <v>56</v>
      </c>
      <c r="U41" s="258">
        <v>523.88</v>
      </c>
      <c r="V41" s="229">
        <v>0.73073999999999995</v>
      </c>
      <c r="W41" s="229">
        <v>5.9639999999999999E-2</v>
      </c>
      <c r="X41" s="229">
        <v>0.20962</v>
      </c>
      <c r="Y41" s="258">
        <v>67.846000000000004</v>
      </c>
      <c r="Z41" s="256">
        <v>0.64307000000000003</v>
      </c>
      <c r="AA41" s="256">
        <v>0.35693000000000003</v>
      </c>
      <c r="AB41" s="258">
        <v>7.7210000000000001</v>
      </c>
      <c r="AC41" s="229">
        <v>0.12336</v>
      </c>
      <c r="AD41" s="229">
        <v>0.87663999999999997</v>
      </c>
      <c r="AE41" s="258">
        <v>0.95299999999999996</v>
      </c>
      <c r="AF41" s="253">
        <v>7303.36</v>
      </c>
      <c r="AG41" s="229">
        <v>1.1000000000000001</v>
      </c>
      <c r="AH41" s="229">
        <v>1.0043</v>
      </c>
      <c r="AI41" s="299">
        <v>8.7849999999999994E-3</v>
      </c>
      <c r="AJ41" s="299">
        <v>8.1379999999999994E-3</v>
      </c>
      <c r="AK41" s="299">
        <v>8.0850000000000002E-3</v>
      </c>
      <c r="AL41" s="229">
        <v>1.0488090000000001</v>
      </c>
    </row>
    <row r="42" spans="3:38" x14ac:dyDescent="0.2">
      <c r="C42" s="38">
        <v>45474</v>
      </c>
      <c r="D42" s="38" t="s">
        <v>138</v>
      </c>
      <c r="E42" s="275" t="s">
        <v>48</v>
      </c>
      <c r="F42" s="233">
        <v>546</v>
      </c>
      <c r="G42" s="257">
        <v>0.72697000000000001</v>
      </c>
      <c r="H42" s="257">
        <v>5.9339999999999997E-2</v>
      </c>
      <c r="I42" s="257">
        <v>0.21368999999999999</v>
      </c>
      <c r="J42" s="228">
        <v>72.837000000000003</v>
      </c>
      <c r="K42" s="257">
        <v>0.54988000000000004</v>
      </c>
      <c r="L42" s="257">
        <v>0.45012000000000002</v>
      </c>
      <c r="M42" s="228">
        <v>11.917999999999999</v>
      </c>
      <c r="N42" s="257">
        <v>0.15295</v>
      </c>
      <c r="O42" s="257">
        <v>0.84704999999999997</v>
      </c>
      <c r="P42" s="228">
        <v>1.107</v>
      </c>
      <c r="Q42" s="233">
        <v>7793.57</v>
      </c>
      <c r="R42" s="228">
        <v>1.1000000000000001</v>
      </c>
      <c r="S42" s="255">
        <v>1.0046999999999999</v>
      </c>
      <c r="T42" s="275" t="s">
        <v>56</v>
      </c>
      <c r="U42" s="228">
        <v>523.88</v>
      </c>
      <c r="V42" s="228">
        <v>0.73073999999999995</v>
      </c>
      <c r="W42" s="228">
        <v>5.9639999999999999E-2</v>
      </c>
      <c r="X42" s="228">
        <v>0.20962</v>
      </c>
      <c r="Y42" s="228">
        <v>67.846000000000004</v>
      </c>
      <c r="Z42" s="257">
        <v>0.64307000000000003</v>
      </c>
      <c r="AA42" s="257">
        <v>0.35693000000000003</v>
      </c>
      <c r="AB42" s="228">
        <v>7.7210000000000001</v>
      </c>
      <c r="AC42" s="228">
        <v>0.12336</v>
      </c>
      <c r="AD42" s="228">
        <v>0.87663999999999997</v>
      </c>
      <c r="AE42" s="228">
        <v>0.95299999999999996</v>
      </c>
      <c r="AF42" s="233">
        <v>7303.36</v>
      </c>
      <c r="AG42" s="228">
        <v>1.1000000000000001</v>
      </c>
      <c r="AH42" s="228">
        <v>1.0043</v>
      </c>
      <c r="AI42" s="298">
        <v>8.7849999999999994E-3</v>
      </c>
      <c r="AJ42" s="298">
        <v>8.1379999999999994E-3</v>
      </c>
      <c r="AK42" s="298">
        <v>8.0850000000000002E-3</v>
      </c>
      <c r="AL42" s="228">
        <v>1.0488090000000001</v>
      </c>
    </row>
    <row r="43" spans="3:38" x14ac:dyDescent="0.2">
      <c r="C43" s="2">
        <v>45505</v>
      </c>
      <c r="D43" s="2" t="s">
        <v>138</v>
      </c>
      <c r="E43" s="276" t="s">
        <v>48</v>
      </c>
      <c r="F43" s="227">
        <v>546</v>
      </c>
      <c r="G43" s="256">
        <v>0.72697000000000001</v>
      </c>
      <c r="H43" s="256">
        <v>5.9339999999999997E-2</v>
      </c>
      <c r="I43" s="256">
        <v>0.21368999999999999</v>
      </c>
      <c r="J43" s="258">
        <v>72.837000000000003</v>
      </c>
      <c r="K43" s="256">
        <v>0.54988000000000004</v>
      </c>
      <c r="L43" s="256">
        <v>0.45012000000000002</v>
      </c>
      <c r="M43" s="258">
        <v>11.917999999999999</v>
      </c>
      <c r="N43" s="256">
        <v>0.15295</v>
      </c>
      <c r="O43" s="256">
        <v>0.84704999999999997</v>
      </c>
      <c r="P43" s="258">
        <v>1.107</v>
      </c>
      <c r="Q43" s="253">
        <v>7793.57</v>
      </c>
      <c r="R43" s="229">
        <v>1.1000000000000001</v>
      </c>
      <c r="S43" s="254">
        <v>1.0046999999999999</v>
      </c>
      <c r="T43" s="276" t="s">
        <v>56</v>
      </c>
      <c r="U43" s="258">
        <v>523.88</v>
      </c>
      <c r="V43" s="229">
        <v>0.73073999999999995</v>
      </c>
      <c r="W43" s="229">
        <v>5.9639999999999999E-2</v>
      </c>
      <c r="X43" s="229">
        <v>0.20962</v>
      </c>
      <c r="Y43" s="258">
        <v>67.846000000000004</v>
      </c>
      <c r="Z43" s="256">
        <v>0.64307000000000003</v>
      </c>
      <c r="AA43" s="256">
        <v>0.35693000000000003</v>
      </c>
      <c r="AB43" s="258">
        <v>7.7210000000000001</v>
      </c>
      <c r="AC43" s="229">
        <v>0.12336</v>
      </c>
      <c r="AD43" s="229">
        <v>0.87663999999999997</v>
      </c>
      <c r="AE43" s="258">
        <v>0.95299999999999996</v>
      </c>
      <c r="AF43" s="253">
        <v>7303.36</v>
      </c>
      <c r="AG43" s="229">
        <v>1.1000000000000001</v>
      </c>
      <c r="AH43" s="229">
        <v>1.0043</v>
      </c>
      <c r="AI43" s="299">
        <v>8.7849999999999994E-3</v>
      </c>
      <c r="AJ43" s="299">
        <v>8.1379999999999994E-3</v>
      </c>
      <c r="AK43" s="299">
        <v>8.0850000000000002E-3</v>
      </c>
      <c r="AL43" s="229">
        <v>1.0488090000000001</v>
      </c>
    </row>
    <row r="44" spans="3:38" x14ac:dyDescent="0.2">
      <c r="C44" s="38">
        <v>45536</v>
      </c>
      <c r="D44" s="38" t="s">
        <v>138</v>
      </c>
      <c r="E44" s="275" t="s">
        <v>48</v>
      </c>
      <c r="F44" s="233">
        <v>546</v>
      </c>
      <c r="G44" s="257">
        <v>0.72697000000000001</v>
      </c>
      <c r="H44" s="257">
        <v>5.9339999999999997E-2</v>
      </c>
      <c r="I44" s="257">
        <v>0.21368999999999999</v>
      </c>
      <c r="J44" s="228">
        <v>72.837000000000003</v>
      </c>
      <c r="K44" s="257">
        <v>0.54988000000000004</v>
      </c>
      <c r="L44" s="257">
        <v>0.45012000000000002</v>
      </c>
      <c r="M44" s="228">
        <v>11.917999999999999</v>
      </c>
      <c r="N44" s="257">
        <v>0.15295</v>
      </c>
      <c r="O44" s="257">
        <v>0.84704999999999997</v>
      </c>
      <c r="P44" s="228">
        <v>1.107</v>
      </c>
      <c r="Q44" s="233">
        <v>7793.57</v>
      </c>
      <c r="R44" s="228">
        <v>1.1000000000000001</v>
      </c>
      <c r="S44" s="255">
        <v>1.0046999999999999</v>
      </c>
      <c r="T44" s="275" t="s">
        <v>56</v>
      </c>
      <c r="U44" s="228">
        <v>523.88</v>
      </c>
      <c r="V44" s="228">
        <v>0.73073999999999995</v>
      </c>
      <c r="W44" s="228">
        <v>5.9639999999999999E-2</v>
      </c>
      <c r="X44" s="228">
        <v>0.20962</v>
      </c>
      <c r="Y44" s="228">
        <v>67.846000000000004</v>
      </c>
      <c r="Z44" s="257">
        <v>0.64307000000000003</v>
      </c>
      <c r="AA44" s="257">
        <v>0.35693000000000003</v>
      </c>
      <c r="AB44" s="228">
        <v>7.7210000000000001</v>
      </c>
      <c r="AC44" s="228">
        <v>0.12336</v>
      </c>
      <c r="AD44" s="228">
        <v>0.87663999999999997</v>
      </c>
      <c r="AE44" s="228">
        <v>0.95299999999999996</v>
      </c>
      <c r="AF44" s="233">
        <v>7303.36</v>
      </c>
      <c r="AG44" s="228">
        <v>1.1000000000000001</v>
      </c>
      <c r="AH44" s="228">
        <v>1.0043</v>
      </c>
      <c r="AI44" s="298">
        <v>8.7849999999999994E-3</v>
      </c>
      <c r="AJ44" s="298">
        <v>8.1379999999999994E-3</v>
      </c>
      <c r="AK44" s="298">
        <v>8.0850000000000002E-3</v>
      </c>
      <c r="AL44" s="228">
        <v>1.0488090000000001</v>
      </c>
    </row>
    <row r="45" spans="3:38" x14ac:dyDescent="0.2">
      <c r="C45" s="2">
        <v>45566</v>
      </c>
      <c r="D45" s="2" t="s">
        <v>140</v>
      </c>
      <c r="E45" s="276" t="s">
        <v>48</v>
      </c>
      <c r="F45" s="227">
        <v>546</v>
      </c>
      <c r="G45" s="256">
        <v>0.72697000000000001</v>
      </c>
      <c r="H45" s="256">
        <v>5.9339999999999997E-2</v>
      </c>
      <c r="I45" s="256">
        <v>0.21368999999999999</v>
      </c>
      <c r="J45" s="258">
        <v>72.837000000000003</v>
      </c>
      <c r="K45" s="256">
        <v>0.54988000000000004</v>
      </c>
      <c r="L45" s="256">
        <v>0.45012000000000002</v>
      </c>
      <c r="M45" s="258">
        <v>11.917999999999999</v>
      </c>
      <c r="N45" s="256">
        <v>0.15295</v>
      </c>
      <c r="O45" s="256">
        <v>0.84704999999999997</v>
      </c>
      <c r="P45" s="258">
        <v>1.107</v>
      </c>
      <c r="Q45" s="253">
        <v>8095.98</v>
      </c>
      <c r="R45" s="229">
        <v>1.1000000000000001</v>
      </c>
      <c r="S45" s="254">
        <v>1.0046999999999999</v>
      </c>
      <c r="T45" s="276" t="s">
        <v>56</v>
      </c>
      <c r="U45" s="258">
        <v>523.88</v>
      </c>
      <c r="V45" s="229">
        <v>0.73073999999999995</v>
      </c>
      <c r="W45" s="229">
        <v>5.9639999999999999E-2</v>
      </c>
      <c r="X45" s="229">
        <v>0.20962</v>
      </c>
      <c r="Y45" s="258">
        <v>67.846000000000004</v>
      </c>
      <c r="Z45" s="256">
        <v>0.64307000000000003</v>
      </c>
      <c r="AA45" s="256">
        <v>0.35693000000000003</v>
      </c>
      <c r="AB45" s="258">
        <v>7.7210000000000001</v>
      </c>
      <c r="AC45" s="229">
        <v>0.12336</v>
      </c>
      <c r="AD45" s="229">
        <v>0.87663999999999997</v>
      </c>
      <c r="AE45" s="258">
        <v>0.95299999999999996</v>
      </c>
      <c r="AF45" s="253">
        <v>7590.87</v>
      </c>
      <c r="AG45" s="229">
        <v>1.1000000000000001</v>
      </c>
      <c r="AH45" s="229">
        <v>1.0043</v>
      </c>
      <c r="AI45" s="299">
        <v>8.7849999999999994E-3</v>
      </c>
      <c r="AJ45" s="299">
        <v>8.1379999999999994E-3</v>
      </c>
      <c r="AK45" s="299">
        <v>8.0850000000000002E-3</v>
      </c>
      <c r="AL45" s="229">
        <v>1.0488090000000001</v>
      </c>
    </row>
    <row r="46" spans="3:38" x14ac:dyDescent="0.2">
      <c r="C46" s="38">
        <v>45597</v>
      </c>
      <c r="D46" s="38" t="s">
        <v>140</v>
      </c>
      <c r="E46" s="275" t="s">
        <v>48</v>
      </c>
      <c r="F46" s="233">
        <v>546</v>
      </c>
      <c r="G46" s="257">
        <v>0.72697000000000001</v>
      </c>
      <c r="H46" s="257">
        <v>5.9339999999999997E-2</v>
      </c>
      <c r="I46" s="257">
        <v>0.21368999999999999</v>
      </c>
      <c r="J46" s="228">
        <v>72.837000000000003</v>
      </c>
      <c r="K46" s="257">
        <v>0.54988000000000004</v>
      </c>
      <c r="L46" s="257">
        <v>0.45012000000000002</v>
      </c>
      <c r="M46" s="228">
        <v>11.917999999999999</v>
      </c>
      <c r="N46" s="257">
        <v>0.15295</v>
      </c>
      <c r="O46" s="257">
        <v>0.84704999999999997</v>
      </c>
      <c r="P46" s="228">
        <v>1.107</v>
      </c>
      <c r="Q46" s="233">
        <v>8095.98</v>
      </c>
      <c r="R46" s="228">
        <v>1.1000000000000001</v>
      </c>
      <c r="S46" s="255">
        <v>1.0046999999999999</v>
      </c>
      <c r="T46" s="275" t="s">
        <v>56</v>
      </c>
      <c r="U46" s="228">
        <v>523.88</v>
      </c>
      <c r="V46" s="228">
        <v>0.73073999999999995</v>
      </c>
      <c r="W46" s="228">
        <v>5.9639999999999999E-2</v>
      </c>
      <c r="X46" s="228">
        <v>0.20962</v>
      </c>
      <c r="Y46" s="228">
        <v>67.846000000000004</v>
      </c>
      <c r="Z46" s="257">
        <v>0.64307000000000003</v>
      </c>
      <c r="AA46" s="257">
        <v>0.35693000000000003</v>
      </c>
      <c r="AB46" s="228">
        <v>7.7210000000000001</v>
      </c>
      <c r="AC46" s="228">
        <v>0.12336</v>
      </c>
      <c r="AD46" s="228">
        <v>0.87663999999999997</v>
      </c>
      <c r="AE46" s="228">
        <v>0.95299999999999996</v>
      </c>
      <c r="AF46" s="233">
        <v>7590.87</v>
      </c>
      <c r="AG46" s="228">
        <v>1.1000000000000001</v>
      </c>
      <c r="AH46" s="228">
        <v>1.0043</v>
      </c>
      <c r="AI46" s="298">
        <v>8.7849999999999994E-3</v>
      </c>
      <c r="AJ46" s="298">
        <v>8.1379999999999994E-3</v>
      </c>
      <c r="AK46" s="298">
        <v>8.0850000000000002E-3</v>
      </c>
      <c r="AL46" s="228">
        <v>1.0488090000000001</v>
      </c>
    </row>
    <row r="47" spans="3:38" x14ac:dyDescent="0.2">
      <c r="C47" s="2">
        <v>45627</v>
      </c>
      <c r="D47" s="2" t="s">
        <v>140</v>
      </c>
      <c r="E47" s="276" t="s">
        <v>48</v>
      </c>
      <c r="F47" s="227">
        <v>546</v>
      </c>
      <c r="G47" s="256">
        <v>0.72697000000000001</v>
      </c>
      <c r="H47" s="256">
        <v>5.9339999999999997E-2</v>
      </c>
      <c r="I47" s="256">
        <v>0.21368999999999999</v>
      </c>
      <c r="J47" s="258">
        <v>72.837000000000003</v>
      </c>
      <c r="K47" s="256">
        <v>0.54988000000000004</v>
      </c>
      <c r="L47" s="256">
        <v>0.45012000000000002</v>
      </c>
      <c r="M47" s="258">
        <v>11.917999999999999</v>
      </c>
      <c r="N47" s="256">
        <v>0.15295</v>
      </c>
      <c r="O47" s="256">
        <v>0.84704999999999997</v>
      </c>
      <c r="P47" s="258">
        <v>1.107</v>
      </c>
      <c r="Q47" s="253">
        <v>8095.98</v>
      </c>
      <c r="R47" s="229">
        <v>1.1000000000000001</v>
      </c>
      <c r="S47" s="254">
        <v>1.0046999999999999</v>
      </c>
      <c r="T47" s="276" t="s">
        <v>56</v>
      </c>
      <c r="U47" s="258">
        <v>523.88</v>
      </c>
      <c r="V47" s="229">
        <v>0.73073999999999995</v>
      </c>
      <c r="W47" s="229">
        <v>5.9639999999999999E-2</v>
      </c>
      <c r="X47" s="229">
        <v>0.20962</v>
      </c>
      <c r="Y47" s="258">
        <v>67.846000000000004</v>
      </c>
      <c r="Z47" s="256">
        <v>0.64307000000000003</v>
      </c>
      <c r="AA47" s="256">
        <v>0.35693000000000003</v>
      </c>
      <c r="AB47" s="258">
        <v>7.7210000000000001</v>
      </c>
      <c r="AC47" s="229">
        <v>0.12336</v>
      </c>
      <c r="AD47" s="229">
        <v>0.87663999999999997</v>
      </c>
      <c r="AE47" s="258">
        <v>0.95299999999999996</v>
      </c>
      <c r="AF47" s="253">
        <v>7590.87</v>
      </c>
      <c r="AG47" s="229">
        <v>1.1000000000000001</v>
      </c>
      <c r="AH47" s="229">
        <v>1.0043</v>
      </c>
      <c r="AI47" s="299">
        <v>8.7849999999999994E-3</v>
      </c>
      <c r="AJ47" s="299">
        <v>8.1379999999999994E-3</v>
      </c>
      <c r="AK47" s="299">
        <v>8.0850000000000002E-3</v>
      </c>
      <c r="AL47" s="229">
        <v>1.0488090000000001</v>
      </c>
    </row>
    <row r="48" spans="3:38" x14ac:dyDescent="0.2">
      <c r="C48" s="38">
        <v>45658</v>
      </c>
      <c r="D48" s="38" t="s">
        <v>140</v>
      </c>
      <c r="E48" s="275" t="s">
        <v>48</v>
      </c>
      <c r="F48" s="233">
        <v>546</v>
      </c>
      <c r="G48" s="257">
        <v>0.72697000000000001</v>
      </c>
      <c r="H48" s="257">
        <v>5.9339999999999997E-2</v>
      </c>
      <c r="I48" s="257">
        <v>0.21368999999999999</v>
      </c>
      <c r="J48" s="228">
        <v>72.837000000000003</v>
      </c>
      <c r="K48" s="257">
        <v>0.54988000000000004</v>
      </c>
      <c r="L48" s="257">
        <v>0.45012000000000002</v>
      </c>
      <c r="M48" s="228">
        <v>11.917999999999999</v>
      </c>
      <c r="N48" s="257">
        <v>0.15295</v>
      </c>
      <c r="O48" s="257">
        <v>0.84704999999999997</v>
      </c>
      <c r="P48" s="228">
        <v>1.107</v>
      </c>
      <c r="Q48" s="233">
        <v>8095.98</v>
      </c>
      <c r="R48" s="228">
        <v>1.1000000000000001</v>
      </c>
      <c r="S48" s="255">
        <v>1.0046999999999999</v>
      </c>
      <c r="T48" s="275" t="s">
        <v>56</v>
      </c>
      <c r="U48" s="228">
        <v>523.88</v>
      </c>
      <c r="V48" s="228">
        <v>0.73073999999999995</v>
      </c>
      <c r="W48" s="228">
        <v>5.9639999999999999E-2</v>
      </c>
      <c r="X48" s="228">
        <v>0.20962</v>
      </c>
      <c r="Y48" s="228">
        <v>67.846000000000004</v>
      </c>
      <c r="Z48" s="257">
        <v>0.64307000000000003</v>
      </c>
      <c r="AA48" s="257">
        <v>0.35693000000000003</v>
      </c>
      <c r="AB48" s="228">
        <v>7.7210000000000001</v>
      </c>
      <c r="AC48" s="228">
        <v>0.12336</v>
      </c>
      <c r="AD48" s="228">
        <v>0.87663999999999997</v>
      </c>
      <c r="AE48" s="228">
        <v>0.95299999999999996</v>
      </c>
      <c r="AF48" s="233">
        <v>7590.87</v>
      </c>
      <c r="AG48" s="228">
        <v>1.1000000000000001</v>
      </c>
      <c r="AH48" s="228">
        <v>1.0043</v>
      </c>
      <c r="AI48" s="298">
        <v>8.7849999999999994E-3</v>
      </c>
      <c r="AJ48" s="298">
        <v>8.1379999999999994E-3</v>
      </c>
      <c r="AK48" s="298">
        <v>8.0850000000000002E-3</v>
      </c>
      <c r="AL48" s="228">
        <v>1.0488090000000001</v>
      </c>
    </row>
    <row r="49" spans="3:38" x14ac:dyDescent="0.2">
      <c r="C49" s="2">
        <v>45689</v>
      </c>
      <c r="D49" s="2" t="s">
        <v>140</v>
      </c>
      <c r="E49" s="276" t="s">
        <v>48</v>
      </c>
      <c r="F49" s="227">
        <v>546</v>
      </c>
      <c r="G49" s="256">
        <v>0.72697000000000001</v>
      </c>
      <c r="H49" s="256">
        <v>5.9339999999999997E-2</v>
      </c>
      <c r="I49" s="256">
        <v>0.21368999999999999</v>
      </c>
      <c r="J49" s="258">
        <v>72.837000000000003</v>
      </c>
      <c r="K49" s="256">
        <v>0.54988000000000004</v>
      </c>
      <c r="L49" s="256">
        <v>0.45012000000000002</v>
      </c>
      <c r="M49" s="258">
        <v>11.917999999999999</v>
      </c>
      <c r="N49" s="256">
        <v>0.15295</v>
      </c>
      <c r="O49" s="256">
        <v>0.84704999999999997</v>
      </c>
      <c r="P49" s="258">
        <v>1.107</v>
      </c>
      <c r="Q49" s="253">
        <v>8095.98</v>
      </c>
      <c r="R49" s="229">
        <v>1.1000000000000001</v>
      </c>
      <c r="S49" s="254">
        <v>1.0046999999999999</v>
      </c>
      <c r="T49" s="276" t="s">
        <v>56</v>
      </c>
      <c r="U49" s="258">
        <v>523.88</v>
      </c>
      <c r="V49" s="229">
        <v>0.73073999999999995</v>
      </c>
      <c r="W49" s="229">
        <v>5.9639999999999999E-2</v>
      </c>
      <c r="X49" s="229">
        <v>0.20962</v>
      </c>
      <c r="Y49" s="258">
        <v>67.846000000000004</v>
      </c>
      <c r="Z49" s="256">
        <v>0.64307000000000003</v>
      </c>
      <c r="AA49" s="256">
        <v>0.35693000000000003</v>
      </c>
      <c r="AB49" s="258">
        <v>7.7210000000000001</v>
      </c>
      <c r="AC49" s="229">
        <v>0.12336</v>
      </c>
      <c r="AD49" s="229">
        <v>0.87663999999999997</v>
      </c>
      <c r="AE49" s="258">
        <v>0.95299999999999996</v>
      </c>
      <c r="AF49" s="253">
        <v>7590.87</v>
      </c>
      <c r="AG49" s="229">
        <v>1.1000000000000001</v>
      </c>
      <c r="AH49" s="229">
        <v>1.0043</v>
      </c>
      <c r="AI49" s="299">
        <v>8.7849999999999994E-3</v>
      </c>
      <c r="AJ49" s="299">
        <v>8.1379999999999994E-3</v>
      </c>
      <c r="AK49" s="299">
        <v>8.0850000000000002E-3</v>
      </c>
      <c r="AL49" s="229">
        <v>1.0488090000000001</v>
      </c>
    </row>
    <row r="50" spans="3:38" x14ac:dyDescent="0.2">
      <c r="C50" s="38">
        <v>45717</v>
      </c>
      <c r="D50" s="38" t="s">
        <v>140</v>
      </c>
      <c r="E50" s="275" t="s">
        <v>48</v>
      </c>
      <c r="F50" s="233">
        <v>546</v>
      </c>
      <c r="G50" s="257">
        <v>0.72697000000000001</v>
      </c>
      <c r="H50" s="257">
        <v>5.9339999999999997E-2</v>
      </c>
      <c r="I50" s="257">
        <v>0.21368999999999999</v>
      </c>
      <c r="J50" s="228">
        <v>72.837000000000003</v>
      </c>
      <c r="K50" s="257">
        <v>0.54988000000000004</v>
      </c>
      <c r="L50" s="257">
        <v>0.45012000000000002</v>
      </c>
      <c r="M50" s="228">
        <v>11.917999999999999</v>
      </c>
      <c r="N50" s="257">
        <v>0.15295</v>
      </c>
      <c r="O50" s="257">
        <v>0.84704999999999997</v>
      </c>
      <c r="P50" s="228">
        <v>1.107</v>
      </c>
      <c r="Q50" s="233">
        <v>8095.98</v>
      </c>
      <c r="R50" s="228">
        <v>1.1000000000000001</v>
      </c>
      <c r="S50" s="255">
        <v>1.0046999999999999</v>
      </c>
      <c r="T50" s="275" t="s">
        <v>56</v>
      </c>
      <c r="U50" s="228">
        <v>523.88</v>
      </c>
      <c r="V50" s="228">
        <v>0.73073999999999995</v>
      </c>
      <c r="W50" s="228">
        <v>5.9639999999999999E-2</v>
      </c>
      <c r="X50" s="228">
        <v>0.20962</v>
      </c>
      <c r="Y50" s="228">
        <v>67.846000000000004</v>
      </c>
      <c r="Z50" s="257">
        <v>0.64307000000000003</v>
      </c>
      <c r="AA50" s="257">
        <v>0.35693000000000003</v>
      </c>
      <c r="AB50" s="228">
        <v>7.7210000000000001</v>
      </c>
      <c r="AC50" s="228">
        <v>0.12336</v>
      </c>
      <c r="AD50" s="228">
        <v>0.87663999999999997</v>
      </c>
      <c r="AE50" s="228">
        <v>0.95299999999999996</v>
      </c>
      <c r="AF50" s="233">
        <v>7590.87</v>
      </c>
      <c r="AG50" s="228">
        <v>1.1000000000000001</v>
      </c>
      <c r="AH50" s="228">
        <v>1.0043</v>
      </c>
      <c r="AI50" s="298">
        <v>8.7849999999999994E-3</v>
      </c>
      <c r="AJ50" s="298">
        <v>8.1379999999999994E-3</v>
      </c>
      <c r="AK50" s="298">
        <v>8.0850000000000002E-3</v>
      </c>
      <c r="AL50" s="228">
        <v>1.0488090000000001</v>
      </c>
    </row>
    <row r="51" spans="3:38" x14ac:dyDescent="0.2">
      <c r="C51" s="2">
        <v>45748</v>
      </c>
      <c r="D51" s="2" t="s">
        <v>141</v>
      </c>
      <c r="E51" s="276" t="s">
        <v>48</v>
      </c>
      <c r="F51" s="227">
        <v>546</v>
      </c>
      <c r="G51" s="256">
        <v>0.72697000000000001</v>
      </c>
      <c r="H51" s="256">
        <v>5.9339999999999997E-2</v>
      </c>
      <c r="I51" s="256">
        <v>0.21368999999999999</v>
      </c>
      <c r="J51" s="258">
        <v>72.837000000000003</v>
      </c>
      <c r="K51" s="256">
        <v>0.54988000000000004</v>
      </c>
      <c r="L51" s="256">
        <v>0.45012000000000002</v>
      </c>
      <c r="M51" s="258">
        <v>11.917999999999999</v>
      </c>
      <c r="N51" s="256">
        <v>0.15295</v>
      </c>
      <c r="O51" s="256">
        <v>0.84704999999999997</v>
      </c>
      <c r="P51" s="258">
        <v>1.107</v>
      </c>
      <c r="Q51" s="253">
        <v>8568.64</v>
      </c>
      <c r="R51" s="229">
        <v>1.1000000000000001</v>
      </c>
      <c r="S51" s="254">
        <v>1.0046999999999999</v>
      </c>
      <c r="T51" s="276" t="s">
        <v>56</v>
      </c>
      <c r="U51" s="258">
        <v>523.88</v>
      </c>
      <c r="V51" s="229">
        <v>0.73073999999999995</v>
      </c>
      <c r="W51" s="229">
        <v>5.9639999999999999E-2</v>
      </c>
      <c r="X51" s="229">
        <v>0.20962</v>
      </c>
      <c r="Y51" s="258">
        <v>67.846000000000004</v>
      </c>
      <c r="Z51" s="256">
        <v>0.64307000000000003</v>
      </c>
      <c r="AA51" s="256">
        <v>0.35693000000000003</v>
      </c>
      <c r="AB51" s="258">
        <v>7.7210000000000001</v>
      </c>
      <c r="AC51" s="229">
        <v>0.12336</v>
      </c>
      <c r="AD51" s="229">
        <v>0.87663999999999997</v>
      </c>
      <c r="AE51" s="258">
        <v>0.95299999999999996</v>
      </c>
      <c r="AF51" s="253">
        <v>8044.56</v>
      </c>
      <c r="AG51" s="229">
        <v>1.1000000000000001</v>
      </c>
      <c r="AH51" s="229">
        <v>1.0043</v>
      </c>
      <c r="AI51" s="299">
        <v>8.7849999999999994E-3</v>
      </c>
      <c r="AJ51" s="299">
        <v>8.1379999999999994E-3</v>
      </c>
      <c r="AK51" s="299">
        <v>8.0850000000000002E-3</v>
      </c>
      <c r="AL51" s="229">
        <v>1.0488090000000001</v>
      </c>
    </row>
    <row r="52" spans="3:38" x14ac:dyDescent="0.2">
      <c r="C52" s="38">
        <v>45778</v>
      </c>
      <c r="D52" s="38" t="s">
        <v>141</v>
      </c>
      <c r="E52" s="275" t="s">
        <v>48</v>
      </c>
      <c r="F52" s="233">
        <v>546</v>
      </c>
      <c r="G52" s="257">
        <v>0.72697000000000001</v>
      </c>
      <c r="H52" s="257">
        <v>5.9339999999999997E-2</v>
      </c>
      <c r="I52" s="257">
        <v>0.21368999999999999</v>
      </c>
      <c r="J52" s="228">
        <v>72.837000000000003</v>
      </c>
      <c r="K52" s="257">
        <v>0.54988000000000004</v>
      </c>
      <c r="L52" s="257">
        <v>0.45012000000000002</v>
      </c>
      <c r="M52" s="228">
        <v>11.917999999999999</v>
      </c>
      <c r="N52" s="257">
        <v>0.15295</v>
      </c>
      <c r="O52" s="257">
        <v>0.84704999999999997</v>
      </c>
      <c r="P52" s="228">
        <v>1.107</v>
      </c>
      <c r="Q52" s="233">
        <v>8568.64</v>
      </c>
      <c r="R52" s="228">
        <v>1.1000000000000001</v>
      </c>
      <c r="S52" s="255">
        <v>1.0046999999999999</v>
      </c>
      <c r="T52" s="275" t="s">
        <v>56</v>
      </c>
      <c r="U52" s="228">
        <v>523.88</v>
      </c>
      <c r="V52" s="228">
        <v>0.73073999999999995</v>
      </c>
      <c r="W52" s="228">
        <v>5.9639999999999999E-2</v>
      </c>
      <c r="X52" s="228">
        <v>0.20962</v>
      </c>
      <c r="Y52" s="228">
        <v>67.846000000000004</v>
      </c>
      <c r="Z52" s="257">
        <v>0.64307000000000003</v>
      </c>
      <c r="AA52" s="257">
        <v>0.35693000000000003</v>
      </c>
      <c r="AB52" s="228">
        <v>7.7210000000000001</v>
      </c>
      <c r="AC52" s="228">
        <v>0.12336</v>
      </c>
      <c r="AD52" s="228">
        <v>0.87663999999999997</v>
      </c>
      <c r="AE52" s="228">
        <v>0.95299999999999996</v>
      </c>
      <c r="AF52" s="233">
        <v>8044.56</v>
      </c>
      <c r="AG52" s="228">
        <v>1.1000000000000001</v>
      </c>
      <c r="AH52" s="228">
        <v>1.0043</v>
      </c>
      <c r="AI52" s="298">
        <v>8.7849999999999994E-3</v>
      </c>
      <c r="AJ52" s="298">
        <v>8.1379999999999994E-3</v>
      </c>
      <c r="AK52" s="298">
        <v>8.0850000000000002E-3</v>
      </c>
      <c r="AL52" s="228">
        <v>1.0488090000000001</v>
      </c>
    </row>
    <row r="53" spans="3:38" x14ac:dyDescent="0.2">
      <c r="C53" s="2">
        <v>45809</v>
      </c>
      <c r="D53" s="2" t="s">
        <v>141</v>
      </c>
      <c r="E53" s="276" t="s">
        <v>48</v>
      </c>
      <c r="F53" s="227">
        <v>546</v>
      </c>
      <c r="G53" s="256">
        <v>0.72697000000000001</v>
      </c>
      <c r="H53" s="256">
        <v>5.9339999999999997E-2</v>
      </c>
      <c r="I53" s="256">
        <v>0.21368999999999999</v>
      </c>
      <c r="J53" s="258">
        <v>72.837000000000003</v>
      </c>
      <c r="K53" s="256">
        <v>0.54988000000000004</v>
      </c>
      <c r="L53" s="256">
        <v>0.45012000000000002</v>
      </c>
      <c r="M53" s="258">
        <v>11.917999999999999</v>
      </c>
      <c r="N53" s="256">
        <v>0.15295</v>
      </c>
      <c r="O53" s="256">
        <v>0.84704999999999997</v>
      </c>
      <c r="P53" s="258">
        <v>1.107</v>
      </c>
      <c r="Q53" s="253">
        <v>8568.64</v>
      </c>
      <c r="R53" s="229">
        <v>1.1000000000000001</v>
      </c>
      <c r="S53" s="254">
        <v>1.0046999999999999</v>
      </c>
      <c r="T53" s="276" t="s">
        <v>56</v>
      </c>
      <c r="U53" s="258">
        <v>523.88</v>
      </c>
      <c r="V53" s="229">
        <v>0.73073999999999995</v>
      </c>
      <c r="W53" s="229">
        <v>5.9639999999999999E-2</v>
      </c>
      <c r="X53" s="229">
        <v>0.20962</v>
      </c>
      <c r="Y53" s="258">
        <v>67.846000000000004</v>
      </c>
      <c r="Z53" s="256">
        <v>0.64307000000000003</v>
      </c>
      <c r="AA53" s="256">
        <v>0.35693000000000003</v>
      </c>
      <c r="AB53" s="258">
        <v>7.7210000000000001</v>
      </c>
      <c r="AC53" s="229">
        <v>0.12336</v>
      </c>
      <c r="AD53" s="229">
        <v>0.87663999999999997</v>
      </c>
      <c r="AE53" s="258">
        <v>0.95299999999999996</v>
      </c>
      <c r="AF53" s="253">
        <v>8044.56</v>
      </c>
      <c r="AG53" s="229">
        <v>1.1000000000000001</v>
      </c>
      <c r="AH53" s="229">
        <v>1.0043</v>
      </c>
      <c r="AI53" s="299">
        <v>8.7849999999999994E-3</v>
      </c>
      <c r="AJ53" s="299">
        <v>8.1379999999999994E-3</v>
      </c>
      <c r="AK53" s="299">
        <v>8.0850000000000002E-3</v>
      </c>
      <c r="AL53" s="229">
        <v>1.0488090000000001</v>
      </c>
    </row>
    <row r="54" spans="3:38" x14ac:dyDescent="0.2">
      <c r="C54" s="38">
        <v>45839</v>
      </c>
      <c r="D54" s="38" t="s">
        <v>141</v>
      </c>
      <c r="E54" s="275" t="s">
        <v>48</v>
      </c>
      <c r="F54" s="233">
        <v>546</v>
      </c>
      <c r="G54" s="257">
        <v>0.72697000000000001</v>
      </c>
      <c r="H54" s="257">
        <v>5.9339999999999997E-2</v>
      </c>
      <c r="I54" s="257">
        <v>0.21368999999999999</v>
      </c>
      <c r="J54" s="228">
        <v>72.837000000000003</v>
      </c>
      <c r="K54" s="257">
        <v>0.54988000000000004</v>
      </c>
      <c r="L54" s="257">
        <v>0.45012000000000002</v>
      </c>
      <c r="M54" s="228">
        <v>11.917999999999999</v>
      </c>
      <c r="N54" s="257">
        <v>0.15295</v>
      </c>
      <c r="O54" s="257">
        <v>0.84704999999999997</v>
      </c>
      <c r="P54" s="228">
        <v>1.107</v>
      </c>
      <c r="Q54" s="233">
        <v>8568.64</v>
      </c>
      <c r="R54" s="228">
        <v>1.1000000000000001</v>
      </c>
      <c r="S54" s="255">
        <v>1.0046999999999999</v>
      </c>
      <c r="T54" s="275" t="s">
        <v>56</v>
      </c>
      <c r="U54" s="228">
        <v>523.88</v>
      </c>
      <c r="V54" s="228">
        <v>0.73073999999999995</v>
      </c>
      <c r="W54" s="228">
        <v>5.9639999999999999E-2</v>
      </c>
      <c r="X54" s="228">
        <v>0.20962</v>
      </c>
      <c r="Y54" s="228">
        <v>67.846000000000004</v>
      </c>
      <c r="Z54" s="257">
        <v>0.64307000000000003</v>
      </c>
      <c r="AA54" s="257">
        <v>0.35693000000000003</v>
      </c>
      <c r="AB54" s="228">
        <v>7.7210000000000001</v>
      </c>
      <c r="AC54" s="228">
        <v>0.12336</v>
      </c>
      <c r="AD54" s="228">
        <v>0.87663999999999997</v>
      </c>
      <c r="AE54" s="228">
        <v>0.95299999999999996</v>
      </c>
      <c r="AF54" s="233">
        <v>8044.56</v>
      </c>
      <c r="AG54" s="228">
        <v>1.1000000000000001</v>
      </c>
      <c r="AH54" s="228">
        <v>1.0043</v>
      </c>
      <c r="AI54" s="298">
        <v>8.7849999999999994E-3</v>
      </c>
      <c r="AJ54" s="298">
        <v>8.1379999999999994E-3</v>
      </c>
      <c r="AK54" s="298">
        <v>8.0850000000000002E-3</v>
      </c>
      <c r="AL54" s="228">
        <v>1.0488090000000001</v>
      </c>
    </row>
    <row r="55" spans="3:38" x14ac:dyDescent="0.2">
      <c r="C55" s="2">
        <v>45870</v>
      </c>
      <c r="D55" s="2" t="s">
        <v>141</v>
      </c>
      <c r="E55" s="276" t="s">
        <v>48</v>
      </c>
      <c r="F55" s="227">
        <v>546</v>
      </c>
      <c r="G55" s="256">
        <v>0.72697000000000001</v>
      </c>
      <c r="H55" s="256">
        <v>5.9339999999999997E-2</v>
      </c>
      <c r="I55" s="256">
        <v>0.21368999999999999</v>
      </c>
      <c r="J55" s="258">
        <v>72.837000000000003</v>
      </c>
      <c r="K55" s="256">
        <v>0.54988000000000004</v>
      </c>
      <c r="L55" s="256">
        <v>0.45012000000000002</v>
      </c>
      <c r="M55" s="258">
        <v>11.917999999999999</v>
      </c>
      <c r="N55" s="256">
        <v>0.15295</v>
      </c>
      <c r="O55" s="256">
        <v>0.84704999999999997</v>
      </c>
      <c r="P55" s="258">
        <v>1.107</v>
      </c>
      <c r="Q55" s="253">
        <v>8568.64</v>
      </c>
      <c r="R55" s="229">
        <v>1.1000000000000001</v>
      </c>
      <c r="S55" s="254">
        <v>1.0046999999999999</v>
      </c>
      <c r="T55" s="276" t="s">
        <v>56</v>
      </c>
      <c r="U55" s="258">
        <v>523.88</v>
      </c>
      <c r="V55" s="229">
        <v>0.73073999999999995</v>
      </c>
      <c r="W55" s="229">
        <v>5.9639999999999999E-2</v>
      </c>
      <c r="X55" s="229">
        <v>0.20962</v>
      </c>
      <c r="Y55" s="258">
        <v>67.846000000000004</v>
      </c>
      <c r="Z55" s="256">
        <v>0.64307000000000003</v>
      </c>
      <c r="AA55" s="256">
        <v>0.35693000000000003</v>
      </c>
      <c r="AB55" s="258">
        <v>7.7210000000000001</v>
      </c>
      <c r="AC55" s="229">
        <v>0.12336</v>
      </c>
      <c r="AD55" s="229">
        <v>0.87663999999999997</v>
      </c>
      <c r="AE55" s="258">
        <v>0.95299999999999996</v>
      </c>
      <c r="AF55" s="253">
        <v>8044.56</v>
      </c>
      <c r="AG55" s="229">
        <v>1.1000000000000001</v>
      </c>
      <c r="AH55" s="229">
        <v>1.0043</v>
      </c>
      <c r="AI55" s="299">
        <v>8.7849999999999994E-3</v>
      </c>
      <c r="AJ55" s="299">
        <v>8.1379999999999994E-3</v>
      </c>
      <c r="AK55" s="299">
        <v>8.0850000000000002E-3</v>
      </c>
      <c r="AL55" s="229">
        <v>1.0488090000000001</v>
      </c>
    </row>
    <row r="56" spans="3:38" x14ac:dyDescent="0.2">
      <c r="C56" s="38">
        <v>45901</v>
      </c>
      <c r="D56" s="38" t="s">
        <v>141</v>
      </c>
      <c r="E56" s="275" t="s">
        <v>48</v>
      </c>
      <c r="F56" s="233">
        <v>546</v>
      </c>
      <c r="G56" s="257">
        <v>0.72697000000000001</v>
      </c>
      <c r="H56" s="257">
        <v>5.9339999999999997E-2</v>
      </c>
      <c r="I56" s="257">
        <v>0.21368999999999999</v>
      </c>
      <c r="J56" s="228">
        <v>72.837000000000003</v>
      </c>
      <c r="K56" s="257">
        <v>0.54988000000000004</v>
      </c>
      <c r="L56" s="257">
        <v>0.45012000000000002</v>
      </c>
      <c r="M56" s="228">
        <v>11.917999999999999</v>
      </c>
      <c r="N56" s="257">
        <v>0.15295</v>
      </c>
      <c r="O56" s="257">
        <v>0.84704999999999997</v>
      </c>
      <c r="P56" s="228">
        <v>1.107</v>
      </c>
      <c r="Q56" s="233">
        <v>8568.64</v>
      </c>
      <c r="R56" s="228">
        <v>1.1000000000000001</v>
      </c>
      <c r="S56" s="255">
        <v>1.0046999999999999</v>
      </c>
      <c r="T56" s="275" t="s">
        <v>56</v>
      </c>
      <c r="U56" s="228">
        <v>523.88</v>
      </c>
      <c r="V56" s="228">
        <v>0.73073999999999995</v>
      </c>
      <c r="W56" s="228">
        <v>5.9639999999999999E-2</v>
      </c>
      <c r="X56" s="228">
        <v>0.20962</v>
      </c>
      <c r="Y56" s="228">
        <v>67.846000000000004</v>
      </c>
      <c r="Z56" s="257">
        <v>0.64307000000000003</v>
      </c>
      <c r="AA56" s="257">
        <v>0.35693000000000003</v>
      </c>
      <c r="AB56" s="228">
        <v>7.7210000000000001</v>
      </c>
      <c r="AC56" s="228">
        <v>0.12336</v>
      </c>
      <c r="AD56" s="228">
        <v>0.87663999999999997</v>
      </c>
      <c r="AE56" s="228">
        <v>0.95299999999999996</v>
      </c>
      <c r="AF56" s="233">
        <v>8044.56</v>
      </c>
      <c r="AG56" s="228">
        <v>1.1000000000000001</v>
      </c>
      <c r="AH56" s="228">
        <v>1.0043</v>
      </c>
      <c r="AI56" s="298">
        <v>8.7849999999999994E-3</v>
      </c>
      <c r="AJ56" s="298">
        <v>8.1379999999999994E-3</v>
      </c>
      <c r="AK56" s="298">
        <v>8.0850000000000002E-3</v>
      </c>
      <c r="AL56" s="228">
        <v>1.0488090000000001</v>
      </c>
    </row>
    <row r="57" spans="3:38" x14ac:dyDescent="0.2">
      <c r="C57" s="2">
        <v>45931</v>
      </c>
      <c r="D57" s="2" t="s">
        <v>144</v>
      </c>
      <c r="E57" s="276" t="s">
        <v>48</v>
      </c>
      <c r="F57" s="227">
        <v>546</v>
      </c>
      <c r="G57" s="256">
        <v>0.72697000000000001</v>
      </c>
      <c r="H57" s="256">
        <v>5.9339999999999997E-2</v>
      </c>
      <c r="I57" s="256">
        <v>0.21368999999999999</v>
      </c>
      <c r="J57" s="258">
        <v>72.837000000000003</v>
      </c>
      <c r="K57" s="256">
        <v>0.54988000000000004</v>
      </c>
      <c r="L57" s="256">
        <v>0.45012000000000002</v>
      </c>
      <c r="M57" s="258">
        <v>11.917999999999999</v>
      </c>
      <c r="N57" s="256">
        <v>0.15295</v>
      </c>
      <c r="O57" s="256">
        <v>0.84704999999999997</v>
      </c>
      <c r="P57" s="258">
        <v>1.107</v>
      </c>
      <c r="Q57" s="253">
        <v>8568.64</v>
      </c>
      <c r="R57" s="229">
        <v>1.1000000000000001</v>
      </c>
      <c r="S57" s="254">
        <v>1.0046999999999999</v>
      </c>
      <c r="T57" s="276" t="s">
        <v>56</v>
      </c>
      <c r="U57" s="258">
        <v>523.88</v>
      </c>
      <c r="V57" s="229">
        <v>0.73073999999999995</v>
      </c>
      <c r="W57" s="229">
        <v>5.9639999999999999E-2</v>
      </c>
      <c r="X57" s="229">
        <v>0.20962</v>
      </c>
      <c r="Y57" s="258">
        <v>67.846000000000004</v>
      </c>
      <c r="Z57" s="256">
        <v>0.64307000000000003</v>
      </c>
      <c r="AA57" s="256">
        <v>0.35693000000000003</v>
      </c>
      <c r="AB57" s="258">
        <v>7.7210000000000001</v>
      </c>
      <c r="AC57" s="229">
        <v>0.12336</v>
      </c>
      <c r="AD57" s="229">
        <v>0.87663999999999997</v>
      </c>
      <c r="AE57" s="258">
        <v>0.95299999999999996</v>
      </c>
      <c r="AF57" s="253">
        <v>8044.56</v>
      </c>
      <c r="AG57" s="229">
        <v>1.1000000000000001</v>
      </c>
      <c r="AH57" s="229">
        <v>1.0043</v>
      </c>
      <c r="AI57" s="299">
        <v>8.7849999999999994E-3</v>
      </c>
      <c r="AJ57" s="299">
        <v>8.1379999999999994E-3</v>
      </c>
      <c r="AK57" s="299">
        <v>8.0850000000000002E-3</v>
      </c>
      <c r="AL57" s="229">
        <v>1.0488090000000001</v>
      </c>
    </row>
    <row r="58" spans="3:38" x14ac:dyDescent="0.2">
      <c r="C58" s="38">
        <v>45962</v>
      </c>
      <c r="D58" s="2" t="s">
        <v>144</v>
      </c>
      <c r="E58" s="275" t="s">
        <v>48</v>
      </c>
      <c r="F58" s="233">
        <v>546</v>
      </c>
      <c r="G58" s="257">
        <v>0.72697000000000001</v>
      </c>
      <c r="H58" s="257">
        <v>5.9339999999999997E-2</v>
      </c>
      <c r="I58" s="257">
        <v>0.21368999999999999</v>
      </c>
      <c r="J58" s="228">
        <v>72.837000000000003</v>
      </c>
      <c r="K58" s="257">
        <v>0.54988000000000004</v>
      </c>
      <c r="L58" s="257">
        <v>0.45012000000000002</v>
      </c>
      <c r="M58" s="228">
        <v>11.917999999999999</v>
      </c>
      <c r="N58" s="257">
        <v>0.15295</v>
      </c>
      <c r="O58" s="257">
        <v>0.84704999999999997</v>
      </c>
      <c r="P58" s="228">
        <v>1.107</v>
      </c>
      <c r="Q58" s="233">
        <v>8568.64</v>
      </c>
      <c r="R58" s="228">
        <v>1.1000000000000001</v>
      </c>
      <c r="S58" s="255">
        <v>1.0046999999999999</v>
      </c>
      <c r="T58" s="275" t="s">
        <v>56</v>
      </c>
      <c r="U58" s="228">
        <v>523.88</v>
      </c>
      <c r="V58" s="228">
        <v>0.73073999999999995</v>
      </c>
      <c r="W58" s="228">
        <v>5.9639999999999999E-2</v>
      </c>
      <c r="X58" s="228">
        <v>0.20962</v>
      </c>
      <c r="Y58" s="228">
        <v>67.846000000000004</v>
      </c>
      <c r="Z58" s="257">
        <v>0.64307000000000003</v>
      </c>
      <c r="AA58" s="257">
        <v>0.35693000000000003</v>
      </c>
      <c r="AB58" s="228">
        <v>7.7210000000000001</v>
      </c>
      <c r="AC58" s="228">
        <v>0.12336</v>
      </c>
      <c r="AD58" s="228">
        <v>0.87663999999999997</v>
      </c>
      <c r="AE58" s="228">
        <v>0.95299999999999996</v>
      </c>
      <c r="AF58" s="233">
        <v>8044.56</v>
      </c>
      <c r="AG58" s="228">
        <v>1.1000000000000001</v>
      </c>
      <c r="AH58" s="228">
        <v>1.0043</v>
      </c>
      <c r="AI58" s="298">
        <v>8.7849999999999994E-3</v>
      </c>
      <c r="AJ58" s="298">
        <v>8.1379999999999994E-3</v>
      </c>
      <c r="AK58" s="298">
        <v>8.0850000000000002E-3</v>
      </c>
      <c r="AL58" s="228">
        <v>1.0488090000000001</v>
      </c>
    </row>
    <row r="59" spans="3:38" x14ac:dyDescent="0.2">
      <c r="C59" s="2">
        <v>45992</v>
      </c>
      <c r="D59" s="2" t="s">
        <v>144</v>
      </c>
      <c r="E59" s="276" t="s">
        <v>48</v>
      </c>
      <c r="F59" s="227">
        <v>546</v>
      </c>
      <c r="G59" s="256">
        <v>0.72697000000000001</v>
      </c>
      <c r="H59" s="256">
        <v>5.9339999999999997E-2</v>
      </c>
      <c r="I59" s="256">
        <v>0.21368999999999999</v>
      </c>
      <c r="J59" s="258">
        <v>72.837000000000003</v>
      </c>
      <c r="K59" s="256">
        <v>0.54988000000000004</v>
      </c>
      <c r="L59" s="256">
        <v>0.45012000000000002</v>
      </c>
      <c r="M59" s="258">
        <v>11.917999999999999</v>
      </c>
      <c r="N59" s="256">
        <v>0.15295</v>
      </c>
      <c r="O59" s="256">
        <v>0.84704999999999997</v>
      </c>
      <c r="P59" s="258">
        <v>1.107</v>
      </c>
      <c r="Q59" s="253">
        <v>8568.64</v>
      </c>
      <c r="R59" s="229">
        <v>1.1000000000000001</v>
      </c>
      <c r="S59" s="254">
        <v>1.0046999999999999</v>
      </c>
      <c r="T59" s="276" t="s">
        <v>56</v>
      </c>
      <c r="U59" s="258">
        <v>523.88</v>
      </c>
      <c r="V59" s="229">
        <v>0.73073999999999995</v>
      </c>
      <c r="W59" s="229">
        <v>5.9639999999999999E-2</v>
      </c>
      <c r="X59" s="229">
        <v>0.20962</v>
      </c>
      <c r="Y59" s="258">
        <v>67.846000000000004</v>
      </c>
      <c r="Z59" s="256">
        <v>0.64307000000000003</v>
      </c>
      <c r="AA59" s="256">
        <v>0.35693000000000003</v>
      </c>
      <c r="AB59" s="258">
        <v>7.7210000000000001</v>
      </c>
      <c r="AC59" s="229">
        <v>0.12336</v>
      </c>
      <c r="AD59" s="229">
        <v>0.87663999999999997</v>
      </c>
      <c r="AE59" s="258">
        <v>0.95299999999999996</v>
      </c>
      <c r="AF59" s="253">
        <v>8044.56</v>
      </c>
      <c r="AG59" s="229">
        <v>1.1000000000000001</v>
      </c>
      <c r="AH59" s="229">
        <v>1.0043</v>
      </c>
      <c r="AI59" s="299">
        <v>8.7849999999999994E-3</v>
      </c>
      <c r="AJ59" s="299">
        <v>8.1379999999999994E-3</v>
      </c>
      <c r="AK59" s="299">
        <v>8.0850000000000002E-3</v>
      </c>
      <c r="AL59" s="229">
        <v>1.0488090000000001</v>
      </c>
    </row>
    <row r="60" spans="3:38" x14ac:dyDescent="0.2">
      <c r="C60" s="2">
        <v>46023</v>
      </c>
      <c r="D60" s="2" t="s">
        <v>144</v>
      </c>
      <c r="E60" s="276" t="s">
        <v>48</v>
      </c>
      <c r="F60" s="227">
        <v>546</v>
      </c>
      <c r="G60" s="256">
        <v>0.72697000000000001</v>
      </c>
      <c r="H60" s="256">
        <v>5.9339999999999997E-2</v>
      </c>
      <c r="I60" s="256">
        <v>0.21368999999999999</v>
      </c>
      <c r="J60" s="258">
        <v>72.837000000000003</v>
      </c>
      <c r="K60" s="256">
        <v>0.54988000000000004</v>
      </c>
      <c r="L60" s="256">
        <v>0.45012000000000002</v>
      </c>
      <c r="M60" s="258">
        <v>11.917999999999999</v>
      </c>
      <c r="N60" s="256">
        <v>0.15295</v>
      </c>
      <c r="O60" s="256">
        <v>0.84704999999999997</v>
      </c>
      <c r="P60" s="258">
        <v>1.107</v>
      </c>
      <c r="Q60" s="253">
        <v>8568.64</v>
      </c>
      <c r="R60" s="229">
        <v>1.1000000000000001</v>
      </c>
      <c r="S60" s="254">
        <v>1.0046999999999999</v>
      </c>
      <c r="T60" s="276" t="s">
        <v>56</v>
      </c>
      <c r="U60" s="258">
        <v>523.88</v>
      </c>
      <c r="V60" s="229">
        <v>0.73073999999999995</v>
      </c>
      <c r="W60" s="229">
        <v>5.9639999999999999E-2</v>
      </c>
      <c r="X60" s="229">
        <v>0.20962</v>
      </c>
      <c r="Y60" s="258">
        <v>67.846000000000004</v>
      </c>
      <c r="Z60" s="256">
        <v>0.64307000000000003</v>
      </c>
      <c r="AA60" s="256">
        <v>0.35693000000000003</v>
      </c>
      <c r="AB60" s="258">
        <v>7.7210000000000001</v>
      </c>
      <c r="AC60" s="229">
        <v>0.12336</v>
      </c>
      <c r="AD60" s="229">
        <v>0.87663999999999997</v>
      </c>
      <c r="AE60" s="258">
        <v>0.95299999999999996</v>
      </c>
      <c r="AF60" s="253">
        <v>8044.56</v>
      </c>
      <c r="AG60" s="229">
        <v>1.1000000000000001</v>
      </c>
      <c r="AH60" s="229">
        <v>1.0043</v>
      </c>
      <c r="AI60" s="299">
        <v>8.7849999999999994E-3</v>
      </c>
      <c r="AJ60" s="299">
        <v>8.1379999999999994E-3</v>
      </c>
      <c r="AK60" s="299">
        <v>8.0850000000000002E-3</v>
      </c>
      <c r="AL60" s="229">
        <v>1.0488090000000001</v>
      </c>
    </row>
    <row r="61" spans="3:38" x14ac:dyDescent="0.2">
      <c r="C61" s="2">
        <v>46054</v>
      </c>
      <c r="D61" s="2" t="s">
        <v>144</v>
      </c>
      <c r="E61" s="276" t="s">
        <v>48</v>
      </c>
      <c r="F61" s="227">
        <v>546</v>
      </c>
      <c r="G61" s="256">
        <v>0.72697000000000001</v>
      </c>
      <c r="H61" s="256">
        <v>5.9339999999999997E-2</v>
      </c>
      <c r="I61" s="256">
        <v>0.21368999999999999</v>
      </c>
      <c r="J61" s="258">
        <v>72.837000000000003</v>
      </c>
      <c r="K61" s="256">
        <v>0.54988000000000004</v>
      </c>
      <c r="L61" s="256">
        <v>0.45012000000000002</v>
      </c>
      <c r="M61" s="258">
        <v>11.917999999999999</v>
      </c>
      <c r="N61" s="256">
        <v>0.15295</v>
      </c>
      <c r="O61" s="256">
        <v>0.84704999999999997</v>
      </c>
      <c r="P61" s="258">
        <v>1.107</v>
      </c>
      <c r="Q61" s="253">
        <v>8568.64</v>
      </c>
      <c r="R61" s="229">
        <v>1.1000000000000001</v>
      </c>
      <c r="S61" s="254">
        <v>1.0046999999999999</v>
      </c>
      <c r="T61" s="276" t="s">
        <v>56</v>
      </c>
      <c r="U61" s="258">
        <v>523.88</v>
      </c>
      <c r="V61" s="229">
        <v>0.73073999999999995</v>
      </c>
      <c r="W61" s="229">
        <v>5.9639999999999999E-2</v>
      </c>
      <c r="X61" s="229">
        <v>0.20962</v>
      </c>
      <c r="Y61" s="258">
        <v>67.846000000000004</v>
      </c>
      <c r="Z61" s="256">
        <v>0.64307000000000003</v>
      </c>
      <c r="AA61" s="256">
        <v>0.35693000000000003</v>
      </c>
      <c r="AB61" s="258">
        <v>7.7210000000000001</v>
      </c>
      <c r="AC61" s="229">
        <v>0.12336</v>
      </c>
      <c r="AD61" s="229">
        <v>0.87663999999999997</v>
      </c>
      <c r="AE61" s="258">
        <v>0.95299999999999996</v>
      </c>
      <c r="AF61" s="253">
        <v>8044.56</v>
      </c>
      <c r="AG61" s="229">
        <v>1.1000000000000001</v>
      </c>
      <c r="AH61" s="229">
        <v>1.0043</v>
      </c>
      <c r="AI61" s="299">
        <v>8.7849999999999994E-3</v>
      </c>
      <c r="AJ61" s="299">
        <v>8.1379999999999994E-3</v>
      </c>
      <c r="AK61" s="299">
        <v>8.0850000000000002E-3</v>
      </c>
      <c r="AL61" s="229">
        <v>1.0488090000000001</v>
      </c>
    </row>
    <row r="62" spans="3:38" x14ac:dyDescent="0.2">
      <c r="C62" s="2">
        <v>46082</v>
      </c>
      <c r="D62" s="2" t="s">
        <v>144</v>
      </c>
      <c r="E62" s="276" t="s">
        <v>48</v>
      </c>
      <c r="F62" s="227">
        <v>546</v>
      </c>
      <c r="G62" s="256">
        <v>0.72697000000000001</v>
      </c>
      <c r="H62" s="256">
        <v>5.9339999999999997E-2</v>
      </c>
      <c r="I62" s="256">
        <v>0.21368999999999999</v>
      </c>
      <c r="J62" s="258">
        <v>72.837000000000003</v>
      </c>
      <c r="K62" s="256">
        <v>0.54988000000000004</v>
      </c>
      <c r="L62" s="256">
        <v>0.45012000000000002</v>
      </c>
      <c r="M62" s="258">
        <v>11.917999999999999</v>
      </c>
      <c r="N62" s="256">
        <v>0.15295</v>
      </c>
      <c r="O62" s="256">
        <v>0.84704999999999997</v>
      </c>
      <c r="P62" s="258">
        <v>1.107</v>
      </c>
      <c r="Q62" s="253">
        <v>8568.64</v>
      </c>
      <c r="R62" s="229">
        <v>1.1000000000000001</v>
      </c>
      <c r="S62" s="254">
        <v>1.0046999999999999</v>
      </c>
      <c r="T62" s="276" t="s">
        <v>56</v>
      </c>
      <c r="U62" s="258">
        <v>523.88</v>
      </c>
      <c r="V62" s="229">
        <v>0.73073999999999995</v>
      </c>
      <c r="W62" s="229">
        <v>5.9639999999999999E-2</v>
      </c>
      <c r="X62" s="229">
        <v>0.20962</v>
      </c>
      <c r="Y62" s="258">
        <v>67.846000000000004</v>
      </c>
      <c r="Z62" s="256">
        <v>0.64307000000000003</v>
      </c>
      <c r="AA62" s="256">
        <v>0.35693000000000003</v>
      </c>
      <c r="AB62" s="258">
        <v>7.7210000000000001</v>
      </c>
      <c r="AC62" s="229">
        <v>0.12336</v>
      </c>
      <c r="AD62" s="229">
        <v>0.87663999999999997</v>
      </c>
      <c r="AE62" s="258">
        <v>0.95299999999999996</v>
      </c>
      <c r="AF62" s="253">
        <v>8044.56</v>
      </c>
      <c r="AG62" s="229">
        <v>1.1000000000000001</v>
      </c>
      <c r="AH62" s="229">
        <v>1.0043</v>
      </c>
      <c r="AI62" s="299">
        <v>8.7849999999999994E-3</v>
      </c>
      <c r="AJ62" s="299">
        <v>8.1379999999999994E-3</v>
      </c>
      <c r="AK62" s="299">
        <v>8.0850000000000002E-3</v>
      </c>
      <c r="AL62" s="229">
        <v>1.0488090000000001</v>
      </c>
    </row>
    <row r="63" spans="3:38" x14ac:dyDescent="0.2">
      <c r="C63" s="2">
        <v>46113</v>
      </c>
      <c r="D63" s="2" t="s">
        <v>144</v>
      </c>
      <c r="E63" s="276" t="s">
        <v>48</v>
      </c>
      <c r="F63" s="227">
        <v>546</v>
      </c>
      <c r="G63" s="256">
        <v>0.72697000000000001</v>
      </c>
      <c r="H63" s="256">
        <v>5.9339999999999997E-2</v>
      </c>
      <c r="I63" s="256">
        <v>0.21368999999999999</v>
      </c>
      <c r="J63" s="258">
        <v>72.837000000000003</v>
      </c>
      <c r="K63" s="256">
        <v>0.54988000000000004</v>
      </c>
      <c r="L63" s="256">
        <v>0.45012000000000002</v>
      </c>
      <c r="M63" s="258">
        <v>11.917999999999999</v>
      </c>
      <c r="N63" s="256">
        <v>0.15295</v>
      </c>
      <c r="O63" s="256">
        <v>0.84704999999999997</v>
      </c>
      <c r="P63" s="258">
        <v>1.107</v>
      </c>
      <c r="Q63" s="253">
        <v>8568.64</v>
      </c>
      <c r="R63" s="229">
        <v>1.1000000000000001</v>
      </c>
      <c r="S63" s="254">
        <v>1.0046999999999999</v>
      </c>
      <c r="T63" s="276" t="s">
        <v>56</v>
      </c>
      <c r="U63" s="258">
        <v>523.88</v>
      </c>
      <c r="V63" s="229">
        <v>0.73073999999999995</v>
      </c>
      <c r="W63" s="229">
        <v>5.9639999999999999E-2</v>
      </c>
      <c r="X63" s="229">
        <v>0.20962</v>
      </c>
      <c r="Y63" s="258">
        <v>67.846000000000004</v>
      </c>
      <c r="Z63" s="256">
        <v>0.64307000000000003</v>
      </c>
      <c r="AA63" s="256">
        <v>0.35693000000000003</v>
      </c>
      <c r="AB63" s="258">
        <v>7.7210000000000001</v>
      </c>
      <c r="AC63" s="229">
        <v>0.12336</v>
      </c>
      <c r="AD63" s="229">
        <v>0.87663999999999997</v>
      </c>
      <c r="AE63" s="258">
        <v>0.95299999999999996</v>
      </c>
      <c r="AF63" s="253">
        <v>8044.56</v>
      </c>
      <c r="AG63" s="229">
        <v>1.1000000000000001</v>
      </c>
      <c r="AH63" s="229">
        <v>1.0043</v>
      </c>
      <c r="AI63" s="299">
        <v>8.7849999999999994E-3</v>
      </c>
      <c r="AJ63" s="299">
        <v>8.1379999999999994E-3</v>
      </c>
      <c r="AK63" s="299">
        <v>8.0850000000000002E-3</v>
      </c>
      <c r="AL63" s="229">
        <v>1.0488090000000001</v>
      </c>
    </row>
    <row r="65" spans="3:38" x14ac:dyDescent="0.2">
      <c r="C65" s="2">
        <v>46143</v>
      </c>
      <c r="D65" s="2" t="s">
        <v>145</v>
      </c>
      <c r="E65" s="276" t="s">
        <v>48</v>
      </c>
      <c r="F65" s="253">
        <v>649.05999999999995</v>
      </c>
      <c r="G65" s="256">
        <v>0.63988999999999996</v>
      </c>
      <c r="H65" s="256">
        <v>7.6969999999999997E-2</v>
      </c>
      <c r="I65" s="256">
        <v>0.28314</v>
      </c>
      <c r="J65" s="229">
        <v>78.52</v>
      </c>
      <c r="K65" s="256">
        <v>0.53617999999999999</v>
      </c>
      <c r="L65" s="256">
        <v>0.46382000000000001</v>
      </c>
      <c r="M65" s="229">
        <v>14.08</v>
      </c>
      <c r="N65" s="256">
        <v>0.13100000000000001</v>
      </c>
      <c r="O65" s="256">
        <v>0.86899999999999999</v>
      </c>
      <c r="P65" s="229">
        <v>1.171</v>
      </c>
      <c r="Q65" s="324">
        <v>8600.9500000000007</v>
      </c>
      <c r="R65" s="229">
        <v>1.1000000000000001</v>
      </c>
      <c r="S65" s="254">
        <v>1.0044</v>
      </c>
      <c r="T65" s="276" t="s">
        <v>56</v>
      </c>
      <c r="U65" s="229">
        <v>639.09</v>
      </c>
      <c r="V65" s="229">
        <v>0.63883999999999996</v>
      </c>
      <c r="W65" s="229">
        <v>7.6850000000000002E-2</v>
      </c>
      <c r="X65" s="229">
        <v>0.28431000000000001</v>
      </c>
      <c r="Y65" s="229">
        <v>74.62</v>
      </c>
      <c r="Z65" s="256">
        <v>0.52959000000000001</v>
      </c>
      <c r="AA65" s="256">
        <v>0.47040999999999999</v>
      </c>
      <c r="AB65" s="229">
        <v>14.51</v>
      </c>
      <c r="AC65" s="229">
        <v>0.12499</v>
      </c>
      <c r="AD65" s="229">
        <v>0.87500999999999995</v>
      </c>
      <c r="AE65" s="229">
        <v>1.1559999999999999</v>
      </c>
      <c r="AF65" s="253">
        <v>8452.18</v>
      </c>
      <c r="AG65" s="229">
        <v>1.1000000000000001</v>
      </c>
      <c r="AH65" s="229">
        <v>1.0043</v>
      </c>
      <c r="AI65" s="299">
        <v>8.7849999999999994E-3</v>
      </c>
      <c r="AJ65" s="299">
        <v>8.1379999999999994E-3</v>
      </c>
      <c r="AK65" s="299">
        <v>8.0569999999999999E-3</v>
      </c>
      <c r="AL65" s="229">
        <v>1.0488090000000001</v>
      </c>
    </row>
    <row r="66" spans="3:38" x14ac:dyDescent="0.2">
      <c r="C66" s="38">
        <v>46174</v>
      </c>
      <c r="D66" s="38" t="s">
        <v>145</v>
      </c>
      <c r="E66" s="275" t="s">
        <v>48</v>
      </c>
      <c r="F66" s="233">
        <v>649.05999999999995</v>
      </c>
      <c r="G66" s="257">
        <v>0.63988999999999996</v>
      </c>
      <c r="H66" s="257">
        <v>7.6969999999999997E-2</v>
      </c>
      <c r="I66" s="257">
        <v>0.28314</v>
      </c>
      <c r="J66" s="228">
        <v>78.52</v>
      </c>
      <c r="K66" s="257">
        <v>0.53617999999999999</v>
      </c>
      <c r="L66" s="257">
        <v>0.46382000000000001</v>
      </c>
      <c r="M66" s="228">
        <v>14.08</v>
      </c>
      <c r="N66" s="257">
        <v>0.13100000000000001</v>
      </c>
      <c r="O66" s="257">
        <v>0.86899999999999999</v>
      </c>
      <c r="P66" s="228">
        <v>1.171</v>
      </c>
      <c r="Q66" s="233">
        <v>8600.9500000000007</v>
      </c>
      <c r="R66" s="228">
        <v>1.1000000000000001</v>
      </c>
      <c r="S66" s="255">
        <v>1.0044</v>
      </c>
      <c r="T66" s="275" t="s">
        <v>56</v>
      </c>
      <c r="U66" s="228">
        <v>639.09</v>
      </c>
      <c r="V66" s="228">
        <v>0.63883999999999996</v>
      </c>
      <c r="W66" s="228">
        <v>7.6850000000000002E-2</v>
      </c>
      <c r="X66" s="228">
        <v>0.28431000000000001</v>
      </c>
      <c r="Y66" s="228">
        <v>74.62</v>
      </c>
      <c r="Z66" s="257">
        <v>0.52959000000000001</v>
      </c>
      <c r="AA66" s="257">
        <v>0.47040999999999999</v>
      </c>
      <c r="AB66" s="228">
        <v>14.51</v>
      </c>
      <c r="AC66" s="228">
        <v>0.12499</v>
      </c>
      <c r="AD66" s="228">
        <v>0.87500999999999995</v>
      </c>
      <c r="AE66" s="228">
        <v>1.1559999999999999</v>
      </c>
      <c r="AF66" s="233">
        <v>8452.18</v>
      </c>
      <c r="AG66" s="228">
        <v>1.1000000000000001</v>
      </c>
      <c r="AH66" s="228">
        <v>1.0043</v>
      </c>
      <c r="AI66" s="298">
        <v>8.7849999999999994E-3</v>
      </c>
      <c r="AJ66" s="298">
        <v>8.1379999999999994E-3</v>
      </c>
      <c r="AK66" s="298">
        <v>8.0569999999999999E-3</v>
      </c>
      <c r="AL66" s="228">
        <v>1.0488090000000001</v>
      </c>
    </row>
    <row r="67" spans="3:38" x14ac:dyDescent="0.2">
      <c r="C67" s="2">
        <v>46204</v>
      </c>
      <c r="D67" s="2" t="s">
        <v>145</v>
      </c>
      <c r="E67" s="276" t="s">
        <v>48</v>
      </c>
      <c r="F67" s="253">
        <v>649.05999999999995</v>
      </c>
      <c r="G67" s="256">
        <v>0.63988999999999996</v>
      </c>
      <c r="H67" s="256">
        <v>7.6969999999999997E-2</v>
      </c>
      <c r="I67" s="256">
        <v>0.28314</v>
      </c>
      <c r="J67" s="229">
        <v>78.52</v>
      </c>
      <c r="K67" s="256">
        <v>0.53617999999999999</v>
      </c>
      <c r="L67" s="256">
        <v>0.46382000000000001</v>
      </c>
      <c r="M67" s="229">
        <v>14.08</v>
      </c>
      <c r="N67" s="256">
        <v>0.13100000000000001</v>
      </c>
      <c r="O67" s="256">
        <v>0.86899999999999999</v>
      </c>
      <c r="P67" s="229">
        <v>1.171</v>
      </c>
      <c r="Q67" s="324">
        <v>8600.9500000000007</v>
      </c>
      <c r="R67" s="229">
        <v>1.1000000000000001</v>
      </c>
      <c r="S67" s="254">
        <v>1.0044</v>
      </c>
      <c r="T67" s="276" t="s">
        <v>56</v>
      </c>
      <c r="U67" s="229">
        <v>639.09</v>
      </c>
      <c r="V67" s="229">
        <v>0.63883999999999996</v>
      </c>
      <c r="W67" s="229">
        <v>7.6850000000000002E-2</v>
      </c>
      <c r="X67" s="229">
        <v>0.28431000000000001</v>
      </c>
      <c r="Y67" s="229">
        <v>74.62</v>
      </c>
      <c r="Z67" s="256">
        <v>0.52959000000000001</v>
      </c>
      <c r="AA67" s="256">
        <v>0.47040999999999999</v>
      </c>
      <c r="AB67" s="229">
        <v>14.51</v>
      </c>
      <c r="AC67" s="229">
        <v>0.12499</v>
      </c>
      <c r="AD67" s="229">
        <v>0.87500999999999995</v>
      </c>
      <c r="AE67" s="229">
        <v>1.1559999999999999</v>
      </c>
      <c r="AF67" s="253">
        <v>8452.18</v>
      </c>
      <c r="AG67" s="229">
        <v>1.1000000000000001</v>
      </c>
      <c r="AH67" s="229">
        <v>1.0043</v>
      </c>
      <c r="AI67" s="299">
        <v>8.7849999999999994E-3</v>
      </c>
      <c r="AJ67" s="299">
        <v>8.1379999999999994E-3</v>
      </c>
      <c r="AK67" s="299">
        <v>8.0569999999999999E-3</v>
      </c>
      <c r="AL67" s="229">
        <v>1.0488090000000001</v>
      </c>
    </row>
    <row r="68" spans="3:38" x14ac:dyDescent="0.2">
      <c r="C68" s="38">
        <v>46235</v>
      </c>
      <c r="D68" s="38" t="s">
        <v>145</v>
      </c>
      <c r="E68" s="275" t="s">
        <v>48</v>
      </c>
      <c r="F68" s="233">
        <v>649.05999999999995</v>
      </c>
      <c r="G68" s="257">
        <v>0.63988999999999996</v>
      </c>
      <c r="H68" s="257">
        <v>7.6969999999999997E-2</v>
      </c>
      <c r="I68" s="257">
        <v>0.28314</v>
      </c>
      <c r="J68" s="228">
        <v>78.52</v>
      </c>
      <c r="K68" s="257">
        <v>0.53617999999999999</v>
      </c>
      <c r="L68" s="257">
        <v>0.46382000000000001</v>
      </c>
      <c r="M68" s="228">
        <v>14.08</v>
      </c>
      <c r="N68" s="257">
        <v>0.13100000000000001</v>
      </c>
      <c r="O68" s="257">
        <v>0.86899999999999999</v>
      </c>
      <c r="P68" s="228">
        <v>1.171</v>
      </c>
      <c r="Q68" s="233">
        <v>8600.9500000000007</v>
      </c>
      <c r="R68" s="228">
        <v>1.1000000000000001</v>
      </c>
      <c r="S68" s="255">
        <v>1.0044</v>
      </c>
      <c r="T68" s="275" t="s">
        <v>56</v>
      </c>
      <c r="U68" s="228">
        <v>639.09</v>
      </c>
      <c r="V68" s="228">
        <v>0.63883999999999996</v>
      </c>
      <c r="W68" s="228">
        <v>7.6850000000000002E-2</v>
      </c>
      <c r="X68" s="228">
        <v>0.28431000000000001</v>
      </c>
      <c r="Y68" s="228">
        <v>74.62</v>
      </c>
      <c r="Z68" s="257">
        <v>0.52959000000000001</v>
      </c>
      <c r="AA68" s="257">
        <v>0.47040999999999999</v>
      </c>
      <c r="AB68" s="228">
        <v>14.51</v>
      </c>
      <c r="AC68" s="228">
        <v>0.12499</v>
      </c>
      <c r="AD68" s="228">
        <v>0.87500999999999995</v>
      </c>
      <c r="AE68" s="228">
        <v>1.1559999999999999</v>
      </c>
      <c r="AF68" s="233">
        <v>8452.18</v>
      </c>
      <c r="AG68" s="228">
        <v>1.1000000000000001</v>
      </c>
      <c r="AH68" s="228">
        <v>1.0043</v>
      </c>
      <c r="AI68" s="298">
        <v>8.7849999999999994E-3</v>
      </c>
      <c r="AJ68" s="298">
        <v>8.1379999999999994E-3</v>
      </c>
      <c r="AK68" s="298">
        <v>8.0569999999999999E-3</v>
      </c>
      <c r="AL68" s="228">
        <v>1.0488090000000001</v>
      </c>
    </row>
  </sheetData>
  <mergeCells count="25">
    <mergeCell ref="T6:AH6"/>
    <mergeCell ref="AI6:AL6"/>
    <mergeCell ref="C7:C8"/>
    <mergeCell ref="P7:P8"/>
    <mergeCell ref="F6:S6"/>
    <mergeCell ref="AI7:AI8"/>
    <mergeCell ref="D7:D8"/>
    <mergeCell ref="E7:E8"/>
    <mergeCell ref="AE7:AE8"/>
    <mergeCell ref="AF7:AF8"/>
    <mergeCell ref="AG7:AG8"/>
    <mergeCell ref="AH7:AH8"/>
    <mergeCell ref="AB7:AD7"/>
    <mergeCell ref="U7:X7"/>
    <mergeCell ref="R7:R8"/>
    <mergeCell ref="AJ7:AJ8"/>
    <mergeCell ref="AK7:AK8"/>
    <mergeCell ref="AL7:AL8"/>
    <mergeCell ref="Q7:Q8"/>
    <mergeCell ref="F7:I7"/>
    <mergeCell ref="J7:L7"/>
    <mergeCell ref="M7:O7"/>
    <mergeCell ref="Y7:AA7"/>
    <mergeCell ref="T7:T8"/>
    <mergeCell ref="S7:S8"/>
  </mergeCells>
  <phoneticPr fontId="30" type="noConversion"/>
  <hyperlinks>
    <hyperlink ref="S1" r:id="rId1" xr:uid="{F8025A31-B4F3-4FB9-BD11-84AACAFCC644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6B618-D132-48F1-9F99-6945951F101C}">
  <dimension ref="A1:AN1048576"/>
  <sheetViews>
    <sheetView showGridLines="0" zoomScaleNormal="100" workbookViewId="0">
      <pane ySplit="4" topLeftCell="A38" activePane="bottomLeft" state="frozen"/>
      <selection sqref="A1:XFD1048576"/>
      <selection pane="bottomLeft"/>
    </sheetView>
  </sheetViews>
  <sheetFormatPr baseColWidth="10" defaultColWidth="11.42578125" defaultRowHeight="12.75" x14ac:dyDescent="0.2"/>
  <cols>
    <col min="1" max="1" width="8.28515625" style="210" bestFit="1" customWidth="1"/>
    <col min="2" max="2" width="8.140625" style="210" bestFit="1" customWidth="1"/>
    <col min="3" max="3" width="56" style="210" bestFit="1" customWidth="1"/>
    <col min="4" max="4" width="12.7109375" style="210" bestFit="1" customWidth="1"/>
    <col min="5" max="5" width="13.28515625" style="210" bestFit="1" customWidth="1"/>
    <col min="6" max="6" width="15.42578125" style="210" bestFit="1" customWidth="1"/>
    <col min="7" max="7" width="13.85546875" style="210" customWidth="1"/>
    <col min="8" max="8" width="13.5703125" style="210" customWidth="1"/>
    <col min="9" max="9" width="19.42578125" style="210" customWidth="1"/>
    <col min="10" max="10" width="14.28515625" style="210" customWidth="1"/>
    <col min="11" max="11" width="12.85546875" style="210" customWidth="1"/>
    <col min="12" max="12" width="14.7109375" style="210" customWidth="1"/>
    <col min="13" max="13" width="20.42578125" style="210" customWidth="1"/>
    <col min="14" max="14" width="19.140625" style="210" customWidth="1"/>
    <col min="15" max="16" width="12.42578125" style="210" customWidth="1"/>
    <col min="17" max="17" width="16.28515625" style="210" customWidth="1"/>
    <col min="18" max="20" width="13.42578125" style="210" bestFit="1" customWidth="1"/>
    <col min="21" max="21" width="17" style="210" customWidth="1"/>
    <col min="22" max="22" width="12.7109375" style="210" bestFit="1" customWidth="1"/>
    <col min="23" max="23" width="14.28515625" style="210" customWidth="1"/>
    <col min="24" max="16384" width="11.42578125" style="210"/>
  </cols>
  <sheetData>
    <row r="1" spans="1:40" ht="16.5" thickBot="1" x14ac:dyDescent="0.3"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Q1" s="343"/>
      <c r="R1" s="343"/>
      <c r="S1" s="343"/>
      <c r="T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</row>
    <row r="2" spans="1:40" ht="13.5" thickBot="1" x14ac:dyDescent="0.25">
      <c r="H2" s="338" t="s">
        <v>67</v>
      </c>
      <c r="I2" s="339"/>
      <c r="J2" s="339"/>
      <c r="K2" s="339"/>
      <c r="L2" s="339"/>
      <c r="M2" s="339"/>
      <c r="N2" s="339"/>
      <c r="O2" s="340"/>
      <c r="P2" s="338" t="s">
        <v>68</v>
      </c>
      <c r="Q2" s="339" t="s">
        <v>68</v>
      </c>
      <c r="R2" s="339"/>
      <c r="S2" s="339"/>
      <c r="T2" s="339"/>
      <c r="U2" s="339"/>
      <c r="V2" s="339"/>
      <c r="W2" s="340"/>
    </row>
    <row r="3" spans="1:40" s="213" customFormat="1" ht="19.5" customHeight="1" thickBot="1" x14ac:dyDescent="0.25">
      <c r="B3" s="344" t="s">
        <v>115</v>
      </c>
      <c r="C3" s="349" t="s">
        <v>24</v>
      </c>
      <c r="D3" s="346" t="s">
        <v>117</v>
      </c>
      <c r="E3" s="347"/>
      <c r="F3" s="347"/>
      <c r="G3" s="348"/>
      <c r="H3" s="341" t="s">
        <v>10</v>
      </c>
      <c r="I3" s="333" t="s">
        <v>86</v>
      </c>
      <c r="J3" s="334"/>
      <c r="K3" s="334"/>
      <c r="L3" s="335"/>
      <c r="M3" s="331" t="s">
        <v>116</v>
      </c>
      <c r="N3" s="331" t="s">
        <v>85</v>
      </c>
      <c r="O3" s="331" t="s">
        <v>114</v>
      </c>
      <c r="P3" s="341" t="s">
        <v>10</v>
      </c>
      <c r="Q3" s="333" t="s">
        <v>86</v>
      </c>
      <c r="R3" s="334"/>
      <c r="S3" s="334"/>
      <c r="T3" s="335"/>
      <c r="U3" s="331" t="s">
        <v>116</v>
      </c>
      <c r="V3" s="331" t="s">
        <v>85</v>
      </c>
      <c r="W3" s="331" t="s">
        <v>114</v>
      </c>
    </row>
    <row r="4" spans="1:40" s="213" customFormat="1" ht="32.25" customHeight="1" thickBot="1" x14ac:dyDescent="0.25">
      <c r="B4" s="345"/>
      <c r="C4" s="350"/>
      <c r="D4" s="12" t="s">
        <v>84</v>
      </c>
      <c r="E4" s="12" t="s">
        <v>83</v>
      </c>
      <c r="F4" s="12" t="s">
        <v>82</v>
      </c>
      <c r="G4" s="32" t="s">
        <v>81</v>
      </c>
      <c r="H4" s="342"/>
      <c r="I4" s="69" t="s">
        <v>80</v>
      </c>
      <c r="J4" s="69" t="s">
        <v>79</v>
      </c>
      <c r="K4" s="69" t="s">
        <v>78</v>
      </c>
      <c r="L4" s="69" t="s">
        <v>77</v>
      </c>
      <c r="M4" s="332"/>
      <c r="N4" s="332"/>
      <c r="O4" s="332"/>
      <c r="P4" s="342"/>
      <c r="Q4" s="69" t="s">
        <v>80</v>
      </c>
      <c r="R4" s="69" t="s">
        <v>79</v>
      </c>
      <c r="S4" s="69" t="s">
        <v>78</v>
      </c>
      <c r="T4" s="69" t="s">
        <v>77</v>
      </c>
      <c r="U4" s="332"/>
      <c r="V4" s="332"/>
      <c r="W4" s="332"/>
    </row>
    <row r="5" spans="1:40" x14ac:dyDescent="0.2">
      <c r="B5" s="144">
        <v>44470</v>
      </c>
      <c r="C5" s="144" t="s">
        <v>120</v>
      </c>
      <c r="D5" s="304">
        <f>+VLOOKUP(DATE(YEAR(B5),MONTH(B5)-2,1),Indices!$B:$F,2,0)</f>
        <v>779.83</v>
      </c>
      <c r="E5" s="305">
        <f>+VLOOKUP(DATE(YEAR(B5),MONTH(B5)-7,1),Indices!$B:$F,4,0)</f>
        <v>232.1</v>
      </c>
      <c r="F5" s="305">
        <f>+VLOOKUP(DATE(YEAR(B5),MONTH(B5)-7,1),Indices!$B:$F,5,0)</f>
        <v>215</v>
      </c>
      <c r="G5" s="304">
        <f>+VLOOKUP(DATE(YEAR(B5),MONTH(B5)-2,1),Indices!$B:$F,3,0)</f>
        <v>110.15</v>
      </c>
      <c r="H5" s="306" t="s">
        <v>48</v>
      </c>
      <c r="I5" s="304">
        <f>(VLOOKUP(B5,Parámetros!$C:$Q,5,0)*E5/Indices!$P$7+VLOOKUP(B5,Parámetros!$C:$Q,6,0)*F5/Indices!$Q$7+VLOOKUP(B5,Parámetros!$C:$Q,7,0)*G5/Indices!$R$7*Indices!$O$7/D5)*Parámetros!F9</f>
        <v>572.78743745306804</v>
      </c>
      <c r="J5" s="304">
        <f>+(VLOOKUP($B5,Parámetros!$C:$L,9,0)*F5/Indices!$Q$7+VLOOKUP($B5,Parámetros!$C:$L,10,0)*Indices!$O$7/D5*G5/Indices!$R$7)*Parámetros!J9</f>
        <v>77.718456884829394</v>
      </c>
      <c r="K5" s="304">
        <f>+(VLOOKUP(B5,Parámetros!$C:$O,12,0)*F5/Indices!$Q$7+VLOOKUP(B5,Parámetros!$C:$O,13,0)*Indices!$O$7/D5*G5/Indices!$R$7)*Parámetros!M9</f>
        <v>12.649774386350925</v>
      </c>
      <c r="L5" s="304">
        <f>+Parámetros!P9*Indices!$O$7/D5*G5/Indices!$R$7</f>
        <v>1.172574159835118</v>
      </c>
      <c r="M5" s="304">
        <f>+ROUND(ROUND(((I5*VLOOKUP($B5,Parámetros!$C:$AL,33,0)+J5*VLOOKUP($B5,Parámetros!$C:$AL,34,0)+K5*VLOOKUP($B5,Parámetros!$C:$AL,35,0))*VLOOKUP($B5,Parámetros!$C:$AL,36,0)+L5)*(VLOOKUP($B5,Parámetros!$C:$AL,16,0))*(VLOOKUP($B5,Parámetros!$C:$AL,17,0)),Indices!$T$7)*D5,Indices!$U$7)</f>
        <v>6223.12</v>
      </c>
      <c r="N5" s="304">
        <f>+VLOOKUP($B5,Parámetros!$C:$AL,15,0)</f>
        <v>5803.92</v>
      </c>
      <c r="O5" s="307">
        <f t="shared" ref="O5:O10" si="0">+M5/N5-1</f>
        <v>7.2227046547850282E-2</v>
      </c>
      <c r="P5" s="306" t="s">
        <v>56</v>
      </c>
      <c r="Q5" s="304">
        <f>(VLOOKUP(B5,Parámetros!$C:$AL,20,0)*E5/Indices!$P$7+VLOOKUP(B5,Parámetros!$C:$AL,21,0)*F5/Indices!$Q$7+VLOOKUP(B5,Parámetros!$C:$AL,22,0)*G5/Indices!$R$7*Indices!$O$7/D5)*Parámetros!U9</f>
        <v>549.55450297933044</v>
      </c>
      <c r="R5" s="304">
        <f>+(VLOOKUP(B5,Parámetros!$C:$AL,24,0)*F5/Indices!$Q$7+VLOOKUP(B5,Parámetros!$C:$AL,25,0)*Indices!$O$7/D5*G5/Indices!$R$7)*Parámetros!Y9</f>
        <v>72.482455095938818</v>
      </c>
      <c r="S5" s="304">
        <f>+(VLOOKUP(B5,Parámetros!$C:$AL,27,0)*F5/Indices!$Q$7+VLOOKUP(B5,Parámetros!$C:$AL,28,0)*Indices!$O$7/D5*G5/Indices!$R$7)*Parámetros!AB9</f>
        <v>8.1918416667118308</v>
      </c>
      <c r="T5" s="304">
        <f>Parámetros!AE9*Indices!$O$7/D5*G5/Indices!$R$7</f>
        <v>1.0094518286566101</v>
      </c>
      <c r="U5" s="304">
        <f>+ROUND(ROUND(((Q5*VLOOKUP($B5,Parámetros!$C:$AL,33,0)+R5*VLOOKUP($B5,Parámetros!$C:$AL,34,0)+S5*VLOOKUP($B5,Parámetros!$C:$AL,35,0))*VLOOKUP($B5,Parámetros!$C:$AL,36,0)+T5)*(VLOOKUP($B5,Parámetros!$C:$AL,31,0))*(VLOOKUP($B5,Parámetros!$C:$AL,32,0)),Indices!$T$7)*D5,Indices!$U$7)</f>
        <v>5824.63</v>
      </c>
      <c r="V5" s="304">
        <f>+VLOOKUP($B5,Parámetros!$C:$AL,30,0)</f>
        <v>5418.16</v>
      </c>
      <c r="W5" s="307">
        <f>+U5/V5-1</f>
        <v>7.5019932966173153E-2</v>
      </c>
    </row>
    <row r="6" spans="1:40" x14ac:dyDescent="0.2">
      <c r="B6" s="183">
        <v>44501</v>
      </c>
      <c r="C6" s="183" t="s">
        <v>120</v>
      </c>
      <c r="D6" s="227">
        <f>+VLOOKUP(DATE(YEAR(B6),MONTH(B6)-2,1),Indices!$B:$F,2,0)</f>
        <v>783.63</v>
      </c>
      <c r="E6" s="258">
        <f>+VLOOKUP(DATE(YEAR(B6),MONTH(B6)-7,1),Indices!$B:$F,4,0)</f>
        <v>232.4</v>
      </c>
      <c r="F6" s="258">
        <f>+VLOOKUP(DATE(YEAR(B6),MONTH(B6)-7,1),Indices!$B:$F,5,0)</f>
        <v>217.9</v>
      </c>
      <c r="G6" s="227">
        <f>+VLOOKUP(DATE(YEAR(B6),MONTH(B6)-2,1),Indices!$B:$F,3,0)</f>
        <v>111.45</v>
      </c>
      <c r="H6" s="232" t="s">
        <v>48</v>
      </c>
      <c r="I6" s="227">
        <f>(VLOOKUP(B6,Parámetros!$C:$Q,5,0)*E6/Indices!$P$7+VLOOKUP(B6,Parámetros!$C:$Q,6,0)*F6/Indices!$Q$7+VLOOKUP(B6,Parámetros!$C:$Q,7,0)*G6/Indices!$R$7*Indices!$O$7/D6)*Parámetros!F10</f>
        <v>574.64439451711405</v>
      </c>
      <c r="J6" s="227">
        <f>+(VLOOKUP($B6,Parámetros!$C:$L,9,0)*F6/Indices!$Q$7+VLOOKUP($B6,Parámetros!$C:$L,10,0)*Indices!$O$7/D6*G6/Indices!$R$7)*Parámetros!J10</f>
        <v>78.537803133006122</v>
      </c>
      <c r="K6" s="227">
        <f>+(VLOOKUP(B6,Parámetros!$C:$O,12,0)*F6/Indices!$Q$7+VLOOKUP(B6,Parámetros!$C:$O,13,0)*Indices!$O$7/D6*G6/Indices!$R$7)*Parámetros!M10</f>
        <v>12.749902153738081</v>
      </c>
      <c r="L6" s="227">
        <f>+Parámetros!P10*Indices!$O$7/D6*G6/Indices!$R$7</f>
        <v>1.1806597970840715</v>
      </c>
      <c r="M6" s="227">
        <f>+ROUND(ROUND(((I6*VLOOKUP($B6,Parámetros!$C:$AL,33,0)+J6*VLOOKUP($B6,Parámetros!$C:$AL,34,0)+K6*VLOOKUP($B6,Parámetros!$C:$AL,35,0))*VLOOKUP($B6,Parámetros!$C:$AL,36,0)+L6)*(VLOOKUP($B6,Parámetros!$C:$AL,16,0))*(VLOOKUP($B6,Parámetros!$C:$AL,17,0)),Indices!$T$7)*D6,Indices!$U$7)</f>
        <v>6282.05</v>
      </c>
      <c r="N6" s="227">
        <f>+VLOOKUP($B6,Parámetros!$C:$AL,15,0)</f>
        <v>5803.92</v>
      </c>
      <c r="O6" s="230">
        <f t="shared" si="0"/>
        <v>8.2380529021764515E-2</v>
      </c>
      <c r="P6" s="232" t="s">
        <v>56</v>
      </c>
      <c r="Q6" s="227">
        <f>(VLOOKUP(B6,Parámetros!$C:$AL,20,0)*E6/Indices!$P$7+VLOOKUP(B6,Parámetros!$C:$AL,21,0)*F6/Indices!$Q$7+VLOOKUP(B6,Parámetros!$C:$AL,22,0)*G6/Indices!$R$7*Indices!$O$7/D6)*Parámetros!U10</f>
        <v>551.32559655645878</v>
      </c>
      <c r="R6" s="227">
        <f>+(VLOOKUP(B6,Parámetros!$C:$AL,24,0)*F6/Indices!$Q$7+VLOOKUP(B6,Parámetros!$C:$AL,25,0)*Indices!$O$7/D6*G6/Indices!$R$7)*Parámetros!Y10</f>
        <v>73.291016661619594</v>
      </c>
      <c r="S6" s="227">
        <f>+(VLOOKUP(B6,Parámetros!$C:$AL,27,0)*F6/Indices!$Q$7+VLOOKUP(B6,Parámetros!$C:$AL,28,0)*Indices!$O$7/D6*G6/Indices!$R$7)*Parámetros!AB10</f>
        <v>8.2550697542420597</v>
      </c>
      <c r="T6" s="227">
        <f>Parámetros!AE10*Indices!$O$7/D6*G6/Indices!$R$7</f>
        <v>1.0164126347074254</v>
      </c>
      <c r="U6" s="227">
        <f>+ROUND(ROUND(((Q6*VLOOKUP($B6,Parámetros!$C:$AL,33,0)+R6*VLOOKUP($B6,Parámetros!$C:$AL,34,0)+S6*VLOOKUP($B6,Parámetros!$C:$AL,35,0))*VLOOKUP($B6,Parámetros!$C:$AL,36,0)+T6)*(VLOOKUP($B6,Parámetros!$C:$AL,31,0))*(VLOOKUP($B6,Parámetros!$C:$AL,32,0)),Indices!$T$7)*D6,Indices!$U$7)</f>
        <v>5879.65</v>
      </c>
      <c r="V6" s="227">
        <f>+VLOOKUP($B6,Parámetros!$C:$AL,30,0)</f>
        <v>5418.16</v>
      </c>
      <c r="W6" s="261">
        <f t="shared" ref="W6:W9" si="1">+U6/V6-1</f>
        <v>8.5174671844316041E-2</v>
      </c>
    </row>
    <row r="7" spans="1:40" x14ac:dyDescent="0.2">
      <c r="A7" s="236"/>
      <c r="B7" s="64">
        <v>44531</v>
      </c>
      <c r="C7" s="64" t="s">
        <v>120</v>
      </c>
      <c r="D7" s="233">
        <f>+VLOOKUP(DATE(YEAR(B7),MONTH(B7)-2,1),Indices!$B:$F,2,0)</f>
        <v>813.95</v>
      </c>
      <c r="E7" s="228">
        <f>+VLOOKUP(DATE(YEAR(B7),MONTH(B7)-7,1),Indices!$B:$F,4,0)</f>
        <v>234.6</v>
      </c>
      <c r="F7" s="228">
        <f>+VLOOKUP(DATE(YEAR(B7),MONTH(B7)-7,1),Indices!$B:$F,5,0)</f>
        <v>224.9</v>
      </c>
      <c r="G7" s="233">
        <f>+VLOOKUP(DATE(YEAR(B7),MONTH(B7)-2,1),Indices!$B:$F,3,0)</f>
        <v>112.94</v>
      </c>
      <c r="H7" s="234" t="s">
        <v>48</v>
      </c>
      <c r="I7" s="233">
        <f>(VLOOKUP(B7,Parámetros!$C:$Q,5,0)*E7/Indices!$P$7+VLOOKUP(B7,Parámetros!$C:$Q,6,0)*F7/Indices!$Q$7+VLOOKUP(B7,Parámetros!$C:$Q,7,0)*G7/Indices!$R$7*Indices!$O$7/D7)*Parámetros!F11</f>
        <v>576.67116270224938</v>
      </c>
      <c r="J7" s="233">
        <f>+(VLOOKUP($B7,Parámetros!$C:$L,9,0)*F7/Indices!$Q$7+VLOOKUP($B7,Parámetros!$C:$L,10,0)*Indices!$O$7/D7*G7/Indices!$R$7)*Parámetros!J11</f>
        <v>79.085043022256102</v>
      </c>
      <c r="K7" s="233">
        <f>+(VLOOKUP(B7,Parámetros!$C:$O,12,0)*F7/Indices!$Q$7+VLOOKUP(B7,Parámetros!$C:$O,13,0)*Indices!$O$7/D7*G7/Indices!$R$7)*Parámetros!M11</f>
        <v>12.551118551060293</v>
      </c>
      <c r="L7" s="233">
        <f>+Parámetros!P11*Indices!$O$7/D7*G7/Indices!$R$7</f>
        <v>1.1518762191172169</v>
      </c>
      <c r="M7" s="233">
        <f>+ROUND(ROUND(((I7*VLOOKUP($B7,Parámetros!$C:$AL,33,0)+J7*VLOOKUP($B7,Parámetros!$C:$AL,34,0)+K7*VLOOKUP($B7,Parámetros!$C:$AL,35,0))*VLOOKUP($B7,Parámetros!$C:$AL,36,0)+L7)*(VLOOKUP($B7,Parámetros!$C:$AL,16,0))*(VLOOKUP($B7,Parámetros!$C:$AL,17,0)),Indices!$T$7)*D7,Indices!$U$7)</f>
        <v>6518.76</v>
      </c>
      <c r="N7" s="233">
        <f>+VLOOKUP($B7,Parámetros!$C:$AL,15,0)</f>
        <v>5803.92</v>
      </c>
      <c r="O7" s="235">
        <f t="shared" si="0"/>
        <v>0.12316503328784689</v>
      </c>
      <c r="P7" s="234" t="s">
        <v>56</v>
      </c>
      <c r="Q7" s="233">
        <f>(VLOOKUP(B7,Parámetros!$C:$AL,20,0)*E7/Indices!$P$7+VLOOKUP(B7,Parámetros!$C:$AL,21,0)*F7/Indices!$Q$7+VLOOKUP(B7,Parámetros!$C:$AL,22,0)*G7/Indices!$R$7*Indices!$O$7/D7)*Parámetros!U11</f>
        <v>553.35073310022085</v>
      </c>
      <c r="R7" s="233">
        <f>+(VLOOKUP(B7,Parámetros!$C:$AL,24,0)*F7/Indices!$Q$7+VLOOKUP(B7,Parámetros!$C:$AL,25,0)*Indices!$O$7/D7*G7/Indices!$R$7)*Parámetros!Y11</f>
        <v>74.186112373107207</v>
      </c>
      <c r="S7" s="233">
        <f>+(VLOOKUP(B7,Parámetros!$C:$AL,27,0)*F7/Indices!$Q$7+VLOOKUP(B7,Parámetros!$C:$AL,28,0)*Indices!$O$7/D7*G7/Indices!$R$7)*Parámetros!AB11</f>
        <v>8.1123643928385416</v>
      </c>
      <c r="T7" s="233">
        <f>Parámetros!AE11*Indices!$O$7/D7*G7/Indices!$R$7</f>
        <v>0.99163327625899511</v>
      </c>
      <c r="U7" s="233">
        <f>+ROUND(ROUND(((Q7*VLOOKUP($B7,Parámetros!$C:$AL,33,0)+R7*VLOOKUP($B7,Parámetros!$C:$AL,34,0)+S7*VLOOKUP($B7,Parámetros!$C:$AL,35,0))*VLOOKUP($B7,Parámetros!$C:$AL,36,0)+T7)*(VLOOKUP($B7,Parámetros!$C:$AL,31,0))*(VLOOKUP($B7,Parámetros!$C:$AL,32,0)),Indices!$T$7)*D7,Indices!$U$7)</f>
        <v>6107.39</v>
      </c>
      <c r="V7" s="233">
        <f>+VLOOKUP($B7,Parámetros!$C:$AL,30,0)</f>
        <v>5418.16</v>
      </c>
      <c r="W7" s="235">
        <f t="shared" si="1"/>
        <v>0.12720739143916027</v>
      </c>
    </row>
    <row r="8" spans="1:40" s="236" customFormat="1" x14ac:dyDescent="0.2">
      <c r="B8" s="194">
        <v>44562</v>
      </c>
      <c r="C8" s="194" t="s">
        <v>120</v>
      </c>
      <c r="D8" s="227">
        <f>+VLOOKUP(DATE(YEAR(B8),MONTH(B8)-2,1),Indices!$B:$F,2,0)</f>
        <v>812.62</v>
      </c>
      <c r="E8" s="258">
        <f>+VLOOKUP(DATE(YEAR(B8),MONTH(B8)-7,1),Indices!$B:$F,4,0)</f>
        <v>234.3</v>
      </c>
      <c r="F8" s="258">
        <f>+VLOOKUP(DATE(YEAR(B8),MONTH(B8)-7,1),Indices!$B:$F,5,0)</f>
        <v>228.9</v>
      </c>
      <c r="G8" s="227">
        <f>+VLOOKUP(DATE(YEAR(B8),MONTH(B8)-2,1),Indices!$B:$F,3,0)</f>
        <v>113.51</v>
      </c>
      <c r="H8" s="232" t="s">
        <v>48</v>
      </c>
      <c r="I8" s="227">
        <f>(VLOOKUP(B8,Parámetros!$C:$Q,5,0)*E8/Indices!$P$7+VLOOKUP(B8,Parámetros!$C:$Q,6,0)*F8/Indices!$Q$7+VLOOKUP(B8,Parámetros!$C:$Q,7,0)*G8/Indices!$R$7*Indices!$O$7/D8)*Parámetros!F12</f>
        <v>577.59494635484691</v>
      </c>
      <c r="J8" s="227">
        <f>+(VLOOKUP($B8,Parámetros!$C:$L,9,0)*F8/Indices!$Q$7+VLOOKUP($B8,Parámetros!$C:$L,10,0)*Indices!$O$7/D8*G8/Indices!$R$7)*Parámetros!J12</f>
        <v>80.113164993130709</v>
      </c>
      <c r="K8" s="227">
        <f>+(VLOOKUP(B8,Parámetros!$C:$O,12,0)*F8/Indices!$Q$7+VLOOKUP(B8,Parámetros!$C:$O,13,0)*Indices!$O$7/D8*G8/Indices!$R$7)*Parámetros!M12</f>
        <v>12.657815077113352</v>
      </c>
      <c r="L8" s="227">
        <f>+Parámetros!P12*Indices!$O$7/D8*G8/Indices!$R$7</f>
        <v>1.1595844240365121</v>
      </c>
      <c r="M8" s="227">
        <f>+ROUND(ROUND(((I8*VLOOKUP($B8,Parámetros!$C:$AL,33,0)+J8*VLOOKUP($B8,Parámetros!$C:$AL,34,0)+K8*VLOOKUP($B8,Parámetros!$C:$AL,35,0))*VLOOKUP($B8,Parámetros!$C:$AL,36,0)+L8)*(VLOOKUP($B8,Parámetros!$C:$AL,16,0))*(VLOOKUP($B8,Parámetros!$C:$AL,17,0)),Indices!$T$7)*D8,Indices!$U$7)</f>
        <v>6531.35</v>
      </c>
      <c r="N8" s="227">
        <f>+VLOOKUP($B8,Parámetros!$C:$AL,15,0)</f>
        <v>5803.92</v>
      </c>
      <c r="O8" s="230">
        <f t="shared" si="0"/>
        <v>0.12533425684709654</v>
      </c>
      <c r="P8" s="232" t="s">
        <v>56</v>
      </c>
      <c r="Q8" s="227">
        <f>(VLOOKUP(B8,Parámetros!$C:$AL,20,0)*E8/Indices!$P$7+VLOOKUP(B8,Parámetros!$C:$AL,21,0)*F8/Indices!$Q$7+VLOOKUP(B8,Parámetros!$C:$AL,22,0)*G8/Indices!$R$7*Indices!$O$7/D8)*Parámetros!U12</f>
        <v>554.22271812342831</v>
      </c>
      <c r="R8" s="227">
        <f>+(VLOOKUP(B8,Parámetros!$C:$AL,24,0)*F8/Indices!$Q$7+VLOOKUP(B8,Parámetros!$C:$AL,25,0)*Indices!$O$7/D8*G8/Indices!$R$7)*Parámetros!Y12</f>
        <v>75.226021479285379</v>
      </c>
      <c r="S8" s="227">
        <f>+(VLOOKUP(B8,Parámetros!$C:$AL,27,0)*F8/Indices!$Q$7+VLOOKUP(B8,Parámetros!$C:$AL,28,0)*Indices!$O$7/D8*G8/Indices!$R$7)*Parámetros!AB12</f>
        <v>8.1785154414059189</v>
      </c>
      <c r="T8" s="227">
        <f>Parámetros!AE12*Indices!$O$7/D8*G8/Indices!$R$7</f>
        <v>0.9982691563747027</v>
      </c>
      <c r="U8" s="227">
        <f>+ROUND(ROUND(((Q8*VLOOKUP($B8,Parámetros!$C:$AL,33,0)+R8*VLOOKUP($B8,Parámetros!$C:$AL,34,0)+S8*VLOOKUP($B8,Parámetros!$C:$AL,35,0))*VLOOKUP($B8,Parámetros!$C:$AL,36,0)+T8)*(VLOOKUP($B8,Parámetros!$C:$AL,31,0))*(VLOOKUP($B8,Parámetros!$C:$AL,32,0)),Indices!$T$7)*D8,Indices!$U$7)</f>
        <v>6119.03</v>
      </c>
      <c r="V8" s="227">
        <f>+VLOOKUP($B8,Parámetros!$C:$AL,30,0)</f>
        <v>5418.16</v>
      </c>
      <c r="W8" s="262">
        <f t="shared" si="1"/>
        <v>0.12935572223780767</v>
      </c>
    </row>
    <row r="9" spans="1:40" x14ac:dyDescent="0.2">
      <c r="A9" s="236"/>
      <c r="B9" s="175">
        <v>44593</v>
      </c>
      <c r="C9" s="175" t="s">
        <v>120</v>
      </c>
      <c r="D9" s="263">
        <f>+VLOOKUP(DATE(YEAR(B9),MONTH(B9)-2,1),Indices!$B:$F,2,0)</f>
        <v>849.12</v>
      </c>
      <c r="E9" s="264">
        <f>+VLOOKUP(DATE(YEAR(B9),MONTH(B9)-7,1),Indices!$B:$F,4,0)</f>
        <v>234.59200000000001</v>
      </c>
      <c r="F9" s="264">
        <f>+VLOOKUP(DATE(YEAR(B9),MONTH(B9)-7,1),Indices!$B:$F,5,0)</f>
        <v>231.85</v>
      </c>
      <c r="G9" s="263">
        <f>+VLOOKUP(DATE(YEAR(B9),MONTH(B9)-2,1),Indices!$B:$F,3,0)</f>
        <v>114.39</v>
      </c>
      <c r="H9" s="265" t="s">
        <v>48</v>
      </c>
      <c r="I9" s="263">
        <f>(VLOOKUP(B9,Parámetros!$C:$Q,5,0)*E9/Indices!$P$7+VLOOKUP(B9,Parámetros!$C:$Q,6,0)*F9/Indices!$Q$7+VLOOKUP(B9,Parámetros!$C:$Q,7,0)*G9/Indices!$R$7*Indices!$O$7/D9)*Parámetros!F13</f>
        <v>574.24669559429594</v>
      </c>
      <c r="J9" s="263">
        <f>+(VLOOKUP($B9,Parámetros!$C:$L,9,0)*F9/Indices!$Q$7+VLOOKUP($B9,Parámetros!$C:$L,10,0)*Indices!$O$7/D9*G9/Indices!$R$7)*Parámetros!J13</f>
        <v>79.481596401537303</v>
      </c>
      <c r="K9" s="263">
        <f>+(VLOOKUP(B9,Parámetros!$C:$O,12,0)*F9/Indices!$Q$7+VLOOKUP(B9,Parámetros!$C:$O,13,0)*Indices!$O$7/D9*G9/Indices!$R$7)*Parámetros!M13</f>
        <v>12.308559662888756</v>
      </c>
      <c r="L9" s="263">
        <f>+Parámetros!P13*Indices!$O$7/D9*G9/Indices!$R$7</f>
        <v>1.118342284878203</v>
      </c>
      <c r="M9" s="263">
        <f>+ROUND(ROUND(((I9*VLOOKUP($B9,Parámetros!$C:$AL,33,0)+J9*VLOOKUP($B9,Parámetros!$C:$AL,34,0)+K9*VLOOKUP($B9,Parámetros!$C:$AL,35,0))*VLOOKUP($B9,Parámetros!$C:$AL,36,0)+L9)*(VLOOKUP($B9,Parámetros!$C:$AL,16,0))*(VLOOKUP($B9,Parámetros!$C:$AL,17,0)),Indices!$T$7)*D9,Indices!$U$7)</f>
        <v>6749.23</v>
      </c>
      <c r="N9" s="263">
        <f>+VLOOKUP($B9,Parámetros!$C:$AL,15,0)</f>
        <v>5803.92</v>
      </c>
      <c r="O9" s="260">
        <f t="shared" si="0"/>
        <v>0.16287440212821669</v>
      </c>
      <c r="P9" s="265" t="s">
        <v>56</v>
      </c>
      <c r="Q9" s="263">
        <f>(VLOOKUP(B9,Parámetros!$C:$AL,20,0)*E9/Indices!$P$7+VLOOKUP(B9,Parámetros!$C:$AL,21,0)*F9/Indices!$Q$7+VLOOKUP(B9,Parámetros!$C:$AL,22,0)*G9/Indices!$R$7*Indices!$O$7/D9)*Parámetros!U13</f>
        <v>551.09445986344656</v>
      </c>
      <c r="R9" s="263">
        <f>+(VLOOKUP(B9,Parámetros!$C:$AL,24,0)*F9/Indices!$Q$7+VLOOKUP(B9,Parámetros!$C:$AL,25,0)*Indices!$O$7/D9*G9/Indices!$R$7)*Parámetros!Y13</f>
        <v>74.966400166226776</v>
      </c>
      <c r="S9" s="263">
        <f>+(VLOOKUP(B9,Parámetros!$C:$AL,27,0)*F9/Indices!$Q$7+VLOOKUP(B9,Parámetros!$C:$AL,28,0)*Indices!$O$7/D9*G9/Indices!$R$7)*Parámetros!AB13</f>
        <v>7.940376137581274</v>
      </c>
      <c r="T9" s="263">
        <f>Parámetros!AE13*Indices!$O$7/D9*G9/Indices!$R$7</f>
        <v>0.96276440604239166</v>
      </c>
      <c r="U9" s="263">
        <f>+ROUND(ROUND(((Q9*VLOOKUP($B9,Parámetros!$C:$AL,33,0)+R9*VLOOKUP($B9,Parámetros!$C:$AL,34,0)+S9*VLOOKUP($B9,Parámetros!$C:$AL,35,0))*VLOOKUP($B9,Parámetros!$C:$AL,36,0)+T9)*(VLOOKUP($B9,Parámetros!$C:$AL,31,0))*(VLOOKUP($B9,Parámetros!$C:$AL,32,0)),Indices!$T$7)*D9,Indices!$U$7)</f>
        <v>6329.6</v>
      </c>
      <c r="V9" s="263">
        <f>+VLOOKUP($B9,Parámetros!$C:$AL,30,0)</f>
        <v>5418.16</v>
      </c>
      <c r="W9" s="260">
        <f t="shared" si="1"/>
        <v>0.16821946934014509</v>
      </c>
    </row>
    <row r="10" spans="1:40" x14ac:dyDescent="0.2">
      <c r="B10" s="194">
        <v>44621</v>
      </c>
      <c r="C10" s="194" t="s">
        <v>121</v>
      </c>
      <c r="D10" s="227">
        <f>+VLOOKUP(DATE(YEAR(B10),MONTH(B10)-2,1),Indices!$B:$F,2,0)</f>
        <v>822.05</v>
      </c>
      <c r="E10" s="258">
        <f>+VLOOKUP(DATE(YEAR(B10),MONTH(B10)-7,1),Indices!$B:$F,4,0)</f>
        <v>234.351</v>
      </c>
      <c r="F10" s="258">
        <f>+VLOOKUP(DATE(YEAR(B10),MONTH(B10)-7,1),Indices!$B:$F,5,0)</f>
        <v>233.41499999999999</v>
      </c>
      <c r="G10" s="227">
        <f>+VLOOKUP(DATE(YEAR(B10),MONTH(B10)-2,1),Indices!$B:$F,3,0)</f>
        <v>115.77</v>
      </c>
      <c r="H10" s="232" t="s">
        <v>48</v>
      </c>
      <c r="I10" s="227">
        <f>(VLOOKUP(B10,Parámetros!$C:$Q,5,0)*E10/Indices!$P$7+VLOOKUP(B10,Parámetros!$C:$Q,6,0)*F10/Indices!$Q$7+VLOOKUP(B10,Parámetros!$C:$Q,7,0)*G10/Indices!$R$7*Indices!$O$7/D10)*Parámetros!F14</f>
        <v>579.41978847642292</v>
      </c>
      <c r="J10" s="227">
        <f>+(VLOOKUP($B10,Parámetros!$C:$L,9,0)*F10/Indices!$Q$7+VLOOKUP($B10,Parámetros!$C:$L,10,0)*Indices!$O$7/D10*G10/Indices!$R$7)*Parámetros!J14</f>
        <v>81.297944387304085</v>
      </c>
      <c r="K10" s="227">
        <f>+(VLOOKUP(B10,Parámetros!$C:$O,12,0)*F10/Indices!$Q$7+VLOOKUP(B10,Parámetros!$C:$O,13,0)*Indices!$O$7/D10*G10/Indices!$R$7)*Parámetros!M14</f>
        <v>12.785727047185659</v>
      </c>
      <c r="L10" s="227">
        <f>+Parámetros!P14*Indices!$O$7/D10*G10/Indices!$R$7</f>
        <v>1.1691051023816605</v>
      </c>
      <c r="M10" s="227">
        <f>+ROUND(ROUND(((I10*VLOOKUP($B10,Parámetros!$C:$AL,33,0)+J10*VLOOKUP($B10,Parámetros!$C:$AL,34,0)+K10*VLOOKUP($B10,Parámetros!$C:$AL,35,0))*VLOOKUP($B10,Parámetros!$C:$AL,36,0)+L10)*(VLOOKUP($B10,Parámetros!$C:$AL,16,0))*(VLOOKUP($B10,Parámetros!$C:$AL,17,0)),Indices!$T$7)*D10,Indices!$U$7)</f>
        <v>6641.26</v>
      </c>
      <c r="N10" s="227">
        <f>+VLOOKUP($B10,Parámetros!$C:$AL,15,0)</f>
        <v>6641.26</v>
      </c>
      <c r="O10" s="296">
        <f t="shared" si="0"/>
        <v>0</v>
      </c>
      <c r="P10" s="232" t="s">
        <v>56</v>
      </c>
      <c r="Q10" s="227">
        <f>(VLOOKUP(B10,Parámetros!$C:$AL,20,0)*E10/Indices!$P$7+VLOOKUP(B10,Parámetros!$C:$AL,21,0)*F10/Indices!$Q$7+VLOOKUP(B10,Parámetros!$C:$AL,22,0)*G10/Indices!$R$7*Indices!$O$7/D10)*Parámetros!U14</f>
        <v>555.95928874811932</v>
      </c>
      <c r="R10" s="227">
        <f>+(VLOOKUP(B10,Parámetros!$C:$AL,24,0)*F10/Indices!$Q$7+VLOOKUP(B10,Parámetros!$C:$AL,25,0)*Indices!$O$7/D10*G10/Indices!$R$7)*Parámetros!Y14</f>
        <v>76.417757782425184</v>
      </c>
      <c r="S10" s="227">
        <f>+(VLOOKUP(B10,Parámetros!$C:$AL,27,0)*F10/Indices!$Q$7+VLOOKUP(B10,Parámetros!$C:$AL,28,0)*Indices!$O$7/D10*G10/Indices!$R$7)*Parámetros!AB14</f>
        <v>8.2581974259740782</v>
      </c>
      <c r="T10" s="227">
        <f>Parámetros!AE14*Indices!$O$7/D10*G10/Indices!$R$7</f>
        <v>1.0064653681749978</v>
      </c>
      <c r="U10" s="227">
        <f>+ROUND(ROUND(((Q10*VLOOKUP($B10,Parámetros!$C:$AL,33,0)+R10*VLOOKUP($B10,Parámetros!$C:$AL,34,0)+S10*VLOOKUP($B10,Parámetros!$C:$AL,35,0))*VLOOKUP($B10,Parámetros!$C:$AL,36,0)+T10)*(VLOOKUP($B10,Parámetros!$C:$AL,31,0))*(VLOOKUP($B10,Parámetros!$C:$AL,32,0)),Indices!$T$7)*D10,Indices!$U$7)</f>
        <v>6221.93</v>
      </c>
      <c r="V10" s="227">
        <f>+VLOOKUP($B10,Parámetros!$C:$AL,30,0)</f>
        <v>6221.93</v>
      </c>
      <c r="W10" s="300">
        <f t="shared" ref="W10:W15" si="2">+U10/V10-1</f>
        <v>0</v>
      </c>
      <c r="X10" s="268"/>
    </row>
    <row r="11" spans="1:40" x14ac:dyDescent="0.2">
      <c r="B11" s="175">
        <v>44652</v>
      </c>
      <c r="C11" s="175" t="s">
        <v>125</v>
      </c>
      <c r="D11" s="263">
        <f>+VLOOKUP(DATE(YEAR(B11),MONTH(B11)-2,1),Indices!$B:$F,2,0)</f>
        <v>807.07</v>
      </c>
      <c r="E11" s="264">
        <f>+VLOOKUP(DATE(YEAR(B11),MONTH(B11)-7,1),Indices!$B:$F,4,0)</f>
        <v>236.167</v>
      </c>
      <c r="F11" s="264">
        <f>+VLOOKUP(DATE(YEAR(B11),MONTH(B11)-7,1),Indices!$B:$F,5,0)</f>
        <v>235.678</v>
      </c>
      <c r="G11" s="263">
        <f>+VLOOKUP(DATE(YEAR(B11),MONTH(B11)-2,1),Indices!$B:$F,3,0)</f>
        <v>116.1</v>
      </c>
      <c r="H11" s="265" t="s">
        <v>48</v>
      </c>
      <c r="I11" s="263">
        <f>(VLOOKUP(B11,Parámetros!$C:$Q,5,0)*1.06237966711651+VLOOKUP(B11,Parámetros!$C:$Q,6,0)*1.17662506240639+VLOOKUP(B11,Parámetros!$C:$Q,7,0)*1.12119748913568*0.962159416159689)*Parámetros!F15</f>
        <v>585.67322993860864</v>
      </c>
      <c r="J11" s="263">
        <f>+(VLOOKUP($B11,Parámetros!$C:$L,9,0)*F11/Indices!$Q$7+VLOOKUP($B11,Parámetros!$C:$L,10,0)*Indices!$O$7/D11*G11/Indices!$R$7)*Parámetros!J15</f>
        <v>82.493646899153845</v>
      </c>
      <c r="K11" s="263">
        <f>+(VLOOKUP(B11,Parámetros!$C:$O,12,0)*F11/Indices!$Q$7+VLOOKUP(B11,Parámetros!$C:$O,13,0)*Indices!$O$7/D11*G11/Indices!$R$7)*Parámetros!M15</f>
        <v>13.035164037247776</v>
      </c>
      <c r="L11" s="263">
        <f>+Parámetros!P15*Indices!$O$7/D11*G11/Indices!$R$7</f>
        <v>1.1941991887519732</v>
      </c>
      <c r="M11" s="263">
        <f>+ROUND(ROUND(((I11*VLOOKUP($B11,Parámetros!$C:$AL,33,0)+J11*VLOOKUP($B11,Parámetros!$C:$AL,34,0)+K11*VLOOKUP($B11,Parámetros!$C:$AL,35,0))*VLOOKUP($B11,Parámetros!$C:$AL,36,0)+L11)*(VLOOKUP($B11,Parámetros!$C:$AL,16,0))*(VLOOKUP($B11,Parámetros!$C:$AL,17,0)),Indices!$T$7)*D11,Indices!$U$7)</f>
        <v>6604.98</v>
      </c>
      <c r="N11" s="263">
        <f>+VLOOKUP($B11,Parámetros!$C:$AL,15,0)</f>
        <v>6531.51</v>
      </c>
      <c r="O11" s="260">
        <f>+M11/N11-1</f>
        <v>1.1248547426245814E-2</v>
      </c>
      <c r="P11" s="265" t="s">
        <v>56</v>
      </c>
      <c r="Q11" s="263">
        <f>(VLOOKUP(B11,Parámetros!$C:$AL,20,0)*E11/Indices!$P$7+VLOOKUP(B11,Parámetros!$C:$AL,21,0)*F11/Indices!$Q$7+VLOOKUP(B11,Parámetros!$C:$AL,22,0)*G11/Indices!$R$7*Indices!$O$7/D11)*Parámetros!U15</f>
        <v>561.92896188967643</v>
      </c>
      <c r="R11" s="263">
        <f>+(VLOOKUP(B11,Parámetros!$C:$AL,24,0)*F11/Indices!$Q$7+VLOOKUP(B11,Parámetros!$C:$AL,25,0)*Indices!$O$7/D11*G11/Indices!$R$7)*Parámetros!Y15</f>
        <v>77.459636573053729</v>
      </c>
      <c r="S11" s="263">
        <f>+(VLOOKUP(B11,Parámetros!$C:$AL,27,0)*F11/Indices!$Q$7+VLOOKUP(B11,Parámetros!$C:$AL,28,0)*Indices!$O$7/D11*G11/Indices!$R$7)*Parámetros!AB15</f>
        <v>8.4223913370630346</v>
      </c>
      <c r="T11" s="263">
        <f>Parámetros!AE15*Indices!$O$7/D11*G11/Indices!$R$7</f>
        <v>1.0280684976338124</v>
      </c>
      <c r="U11" s="263">
        <f>+ROUND(ROUND(((Q11*VLOOKUP($B11,Parámetros!$C:$AL,33,0)+R11*VLOOKUP($B11,Parámetros!$C:$AL,34,0)+S11*VLOOKUP($B11,Parámetros!$C:$AL,35,0))*VLOOKUP($B11,Parámetros!$C:$AL,36,0)+T11)*(VLOOKUP($B11,Parámetros!$C:$AL,31,0))*(VLOOKUP($B11,Parámetros!$C:$AL,32,0)),Indices!$T$7)*D11,Indices!$U$7)</f>
        <v>6185.95</v>
      </c>
      <c r="V11" s="263">
        <f>+VLOOKUP($B11,Parámetros!$C:$AL,30,0)</f>
        <v>6119.19</v>
      </c>
      <c r="W11" s="260">
        <f t="shared" si="2"/>
        <v>1.0909940694765252E-2</v>
      </c>
    </row>
    <row r="12" spans="1:40" x14ac:dyDescent="0.2">
      <c r="B12" s="194">
        <v>44682</v>
      </c>
      <c r="C12" s="194" t="s">
        <v>125</v>
      </c>
      <c r="D12" s="269">
        <f>+VLOOKUP(DATE(YEAR(B12),MONTH(B12)-2,1),Indices!$B:$F,2,0)</f>
        <v>799.19</v>
      </c>
      <c r="E12" s="270">
        <f>+VLOOKUP(DATE(YEAR(B12),MONTH(B12)-7,1),Indices!$B:$F,4,0)</f>
        <v>236.761</v>
      </c>
      <c r="F12" s="270">
        <f>+VLOOKUP(DATE(YEAR(B12),MONTH(B12)-7,1),Indices!$B:$F,5,0)</f>
        <v>240.465</v>
      </c>
      <c r="G12" s="269">
        <f>+VLOOKUP(DATE(YEAR(B12),MONTH(B12)-2,1),Indices!$B:$F,3,0)</f>
        <v>118.26</v>
      </c>
      <c r="H12" s="271" t="s">
        <v>48</v>
      </c>
      <c r="I12" s="269">
        <f>(VLOOKUP(B12,Parámetros!$C:$Q,5,0)*E12/Indices!$P$7+VLOOKUP(B12,Parámetros!$C:$Q,6,0)*F12/Indices!$Q$7+VLOOKUP(B12,Parámetros!$C:$Q,7,0)*G12/Indices!$R$7*Indices!$O$7/D12)*Parámetros!F16</f>
        <v>591.11396329026832</v>
      </c>
      <c r="J12" s="269">
        <f>+(VLOOKUP($B12,Parámetros!$C:$L,9,0)*F12/Indices!$Q$7+VLOOKUP($B12,Parámetros!$C:$L,10,0)*Indices!$O$7/D12*G12/Indices!$R$7)*Parámetros!J16</f>
        <v>84.464069212891303</v>
      </c>
      <c r="K12" s="269">
        <f>+(VLOOKUP(B12,Parámetros!$C:$O,12,0)*F12/Indices!$Q$7+VLOOKUP(B12,Parámetros!$C:$O,13,0)*Indices!$O$7/D12*G12/Indices!$R$7)*Parámetros!M16</f>
        <v>13.390716186708621</v>
      </c>
      <c r="L12" s="269">
        <f>+Parámetros!P16*Indices!$O$7/D12*G12/Indices!$R$7</f>
        <v>1.2284106978040035</v>
      </c>
      <c r="M12" s="269">
        <f>+ROUND(ROUND(((I12*VLOOKUP($B12,Parámetros!$C:$AL,33,0)+J12*VLOOKUP($B12,Parámetros!$C:$AL,34,0)+K12*VLOOKUP($B12,Parámetros!$C:$AL,35,0))*VLOOKUP($B12,Parámetros!$C:$AL,36,0)+L12)*(VLOOKUP($B12,Parámetros!$C:$AL,16,0))*(VLOOKUP($B12,Parámetros!$C:$AL,17,0)),Indices!$T$7)*D12,Indices!$U$7)</f>
        <v>6632.48</v>
      </c>
      <c r="N12" s="269">
        <f>+VLOOKUP($B12,Parámetros!$C:$AL,15,0)</f>
        <v>6531.51</v>
      </c>
      <c r="O12" s="272">
        <f t="shared" ref="O12" si="3">+M12/N12-1</f>
        <v>1.5458906133497319E-2</v>
      </c>
      <c r="P12" s="271" t="s">
        <v>56</v>
      </c>
      <c r="Q12" s="269">
        <f>(VLOOKUP(B12,Parámetros!$C:$AL,20,0)*E12/Indices!$P$7+VLOOKUP(B12,Parámetros!$C:$AL,21,0)*F12/Indices!$Q$7+VLOOKUP(B12,Parámetros!$C:$AL,22,0)*G12/Indices!$R$7*Indices!$O$7/D12)*Parámetros!U16</f>
        <v>567.09241452190724</v>
      </c>
      <c r="R12" s="269">
        <f>+(VLOOKUP(B12,Parámetros!$C:$AL,24,0)*F12/Indices!$Q$7+VLOOKUP(B12,Parámetros!$C:$AL,25,0)*Indices!$O$7/D12*G12/Indices!$R$7)*Parámetros!Y16</f>
        <v>79.250746803851499</v>
      </c>
      <c r="S12" s="269">
        <f>+(VLOOKUP(B12,Parámetros!$C:$AL,27,0)*F12/Indices!$Q$7+VLOOKUP(B12,Parámetros!$C:$AL,28,0)*Indices!$O$7/D12*G12/Indices!$R$7)*Parámetros!AB16</f>
        <v>8.6543340405037998</v>
      </c>
      <c r="T12" s="269">
        <f>Parámetros!AE16*Indices!$O$7/D12*G12/Indices!$R$7</f>
        <v>1.0575206820300047</v>
      </c>
      <c r="U12" s="269">
        <f>+ROUND(ROUND(((Q12*VLOOKUP($B12,Parámetros!$C:$AL,33,0)+R12*VLOOKUP($B12,Parámetros!$C:$AL,34,0)+S12*VLOOKUP($B12,Parámetros!$C:$AL,35,0))*VLOOKUP($B12,Parámetros!$C:$AL,36,0)+T12)*(VLOOKUP($B12,Parámetros!$C:$AL,31,0))*(VLOOKUP($B12,Parámetros!$C:$AL,32,0)),Indices!$T$7)*D12,Indices!$U$7)</f>
        <v>6208.83</v>
      </c>
      <c r="V12" s="269">
        <f>+VLOOKUP($B12,Parámetros!$C:$AL,30,0)</f>
        <v>6119.19</v>
      </c>
      <c r="W12" s="273">
        <f t="shared" si="2"/>
        <v>1.4648997661455221E-2</v>
      </c>
    </row>
    <row r="13" spans="1:40" x14ac:dyDescent="0.2">
      <c r="B13" s="175">
        <v>44713</v>
      </c>
      <c r="C13" s="175" t="s">
        <v>125</v>
      </c>
      <c r="D13" s="263">
        <f>+VLOOKUP(DATE(YEAR(B13),MONTH(B13)-2,1),Indices!$B:$F,2,0)</f>
        <v>815.12</v>
      </c>
      <c r="E13" s="264">
        <f>+VLOOKUP(DATE(YEAR(B13),MONTH(B13)-7,1),Indices!$B:$F,4,0)</f>
        <v>237.08600000000001</v>
      </c>
      <c r="F13" s="264">
        <f>+VLOOKUP(DATE(YEAR(B13),MONTH(B13)-7,1),Indices!$B:$F,5,0)</f>
        <v>243.28700000000001</v>
      </c>
      <c r="G13" s="263">
        <f>+VLOOKUP(DATE(YEAR(B13),MONTH(B13)-2,1),Indices!$B:$F,3,0)</f>
        <v>119.91</v>
      </c>
      <c r="H13" s="265" t="s">
        <v>48</v>
      </c>
      <c r="I13" s="263">
        <f>(VLOOKUP(B13,Parámetros!$C:$Q,5,0)*E13/Indices!$P$7+VLOOKUP(B13,Parámetros!$C:$Q,6,0)*F13/Indices!$Q$7+VLOOKUP(B13,Parámetros!$C:$Q,7,0)*G13/Indices!$R$7*Indices!$O$7/D13)*Parámetros!F17</f>
        <v>591.39158460855913</v>
      </c>
      <c r="J13" s="263">
        <f>+(VLOOKUP($B13,Parámetros!$C:$L,9,0)*F13/Indices!$Q$7+VLOOKUP($B13,Parámetros!$C:$L,10,0)*Indices!$O$7/D13*G13/Indices!$R$7)*Parámetros!J17</f>
        <v>84.815030242384807</v>
      </c>
      <c r="K13" s="263">
        <f>+(VLOOKUP(B13,Parámetros!$C:$O,12,0)*F13/Indices!$Q$7+VLOOKUP(B13,Parámetros!$C:$O,13,0)*Indices!$O$7/D13*G13/Indices!$R$7)*Parámetros!M17</f>
        <v>13.350713345268256</v>
      </c>
      <c r="L13" s="263">
        <f>+Parámetros!P17*Indices!$O$7/D13*G13/Indices!$R$7</f>
        <v>1.2212079139808087</v>
      </c>
      <c r="M13" s="263">
        <f>+ROUND(ROUND(((I13*VLOOKUP($B13,Parámetros!$C:$AL,33,0)+J13*VLOOKUP($B13,Parámetros!$C:$AL,34,0)+K13*VLOOKUP($B13,Parámetros!$C:$AL,35,0))*VLOOKUP($B13,Parámetros!$C:$AL,36,0)+L13)*(VLOOKUP($B13,Parámetros!$C:$AL,16,0))*(VLOOKUP($B13,Parámetros!$C:$AL,17,0)),Indices!$T$7)*D13,Indices!$U$7)</f>
        <v>6762.89</v>
      </c>
      <c r="N13" s="263">
        <f>+VLOOKUP($B13,Parámetros!$C:$AL,15,0)</f>
        <v>6531.51</v>
      </c>
      <c r="O13" s="260">
        <f t="shared" ref="O13" si="4">+M13/N13-1</f>
        <v>3.5425192643048886E-2</v>
      </c>
      <c r="P13" s="265" t="s">
        <v>56</v>
      </c>
      <c r="Q13" s="263">
        <f>(VLOOKUP(B13,Parámetros!$C:$AL,20,0)*E13/Indices!$P$7+VLOOKUP(B13,Parámetros!$C:$AL,21,0)*F13/Indices!$Q$7+VLOOKUP(B13,Parámetros!$C:$AL,22,0)*G13/Indices!$R$7*Indices!$O$7/D13)*Parámetros!U17</f>
        <v>567.37776362222178</v>
      </c>
      <c r="R13" s="263">
        <f>+(VLOOKUP(B13,Parámetros!$C:$AL,24,0)*F13/Indices!$Q$7+VLOOKUP(B13,Parámetros!$C:$AL,25,0)*Indices!$O$7/D13*G13/Indices!$R$7)*Parámetros!Y17</f>
        <v>79.707875103844614</v>
      </c>
      <c r="S13" s="263">
        <f>+(VLOOKUP(B13,Parámetros!$C:$AL,27,0)*F13/Indices!$Q$7+VLOOKUP(B13,Parámetros!$C:$AL,28,0)*Indices!$O$7/D13*G13/Indices!$R$7)*Parámetros!AB17</f>
        <v>8.6237131296598744</v>
      </c>
      <c r="T13" s="263">
        <f>Parámetros!AE17*Indices!$O$7/D13*G13/Indices!$R$7</f>
        <v>1.0513199114938665</v>
      </c>
      <c r="U13" s="263">
        <f>+ROUND(ROUND(((Q13*VLOOKUP($B13,Parámetros!$C:$AL,33,0)+R13*VLOOKUP($B13,Parámetros!$C:$AL,34,0)+S13*VLOOKUP($B13,Parámetros!$C:$AL,35,0))*VLOOKUP($B13,Parámetros!$C:$AL,36,0)+T13)*(VLOOKUP($B13,Parámetros!$C:$AL,31,0))*(VLOOKUP($B13,Parámetros!$C:$AL,32,0)),Indices!$T$7)*D13,Indices!$U$7)</f>
        <v>6332.67</v>
      </c>
      <c r="V13" s="263">
        <f>+VLOOKUP($B13,Parámetros!$C:$AL,30,0)</f>
        <v>6119.19</v>
      </c>
      <c r="W13" s="260">
        <f t="shared" si="2"/>
        <v>3.4886970334309098E-2</v>
      </c>
    </row>
    <row r="14" spans="1:40" x14ac:dyDescent="0.2">
      <c r="B14" s="194">
        <v>44743</v>
      </c>
      <c r="C14" s="194" t="s">
        <v>125</v>
      </c>
      <c r="D14" s="269">
        <f>+VLOOKUP(DATE(YEAR(B14),MONTH(B14)-2,1),Indices!$B:$F,2,0)</f>
        <v>849.39</v>
      </c>
      <c r="E14" s="270">
        <f>+VLOOKUP(DATE(YEAR(B14),MONTH(B14)-7,1),Indices!$B:$F,4,0)</f>
        <v>237.66900000000001</v>
      </c>
      <c r="F14" s="270">
        <f>+VLOOKUP(DATE(YEAR(B14),MONTH(B14)-7,1),Indices!$B:$F,5,0)</f>
        <v>241.33799999999999</v>
      </c>
      <c r="G14" s="269">
        <f>+VLOOKUP(DATE(YEAR(B14),MONTH(B14)-2,1),Indices!$B:$F,3,0)</f>
        <v>121.35000000000001</v>
      </c>
      <c r="H14" s="271" t="s">
        <v>48</v>
      </c>
      <c r="I14" s="269">
        <f>(VLOOKUP(B14,Parámetros!$C:$Q,5,0)*E14/Indices!$P$7+VLOOKUP(B14,Parámetros!$C:$Q,6,0)*F14/Indices!$Q$7+VLOOKUP(B14,Parámetros!$C:$Q,7,0)*G14/Indices!$R$7*Indices!$O$7/D14)*Parámetros!F18</f>
        <v>588.40754241581885</v>
      </c>
      <c r="J14" s="269">
        <f>+(VLOOKUP($B14,Parámetros!$C:$L,9,0)*F14/Indices!$Q$7+VLOOKUP($B14,Parámetros!$C:$L,10,0)*Indices!$O$7/D14*G14/Indices!$R$7)*Parámetros!J18</f>
        <v>83.382878685911464</v>
      </c>
      <c r="K14" s="269">
        <f>+(VLOOKUP(B14,Parámetros!$C:$O,12,0)*F14/Indices!$Q$7+VLOOKUP(B14,Parámetros!$C:$O,13,0)*Indices!$O$7/D14*G14/Indices!$R$7)*Parámetros!M18</f>
        <v>13.011994477298686</v>
      </c>
      <c r="L14" s="269">
        <f>+Parámetros!P18*Indices!$O$7/D14*G14/Indices!$R$7</f>
        <v>1.1860101159482936</v>
      </c>
      <c r="M14" s="269">
        <f>+ROUND(ROUND(((I14*VLOOKUP($B14,Parámetros!$C:$AL,33,0)+J14*VLOOKUP($B14,Parámetros!$C:$AL,34,0)+K14*VLOOKUP($B14,Parámetros!$C:$AL,35,0))*VLOOKUP($B14,Parámetros!$C:$AL,36,0)+L14)*(VLOOKUP($B14,Parámetros!$C:$AL,16,0))*(VLOOKUP($B14,Parámetros!$C:$AL,17,0)),Indices!$T$7)*D14,Indices!$U$7)</f>
        <v>6974.26</v>
      </c>
      <c r="N14" s="269">
        <f>+VLOOKUP($B14,Parámetros!$C:$AL,15,0)</f>
        <v>6531.51</v>
      </c>
      <c r="O14" s="272">
        <f t="shared" ref="O14" si="5">+M14/N14-1</f>
        <v>6.7786775186748471E-2</v>
      </c>
      <c r="P14" s="271" t="s">
        <v>56</v>
      </c>
      <c r="Q14" s="269">
        <f>(VLOOKUP(B14,Parámetros!$C:$AL,20,0)*E14/Indices!$P$7+VLOOKUP(B14,Parámetros!$C:$AL,21,0)*F14/Indices!$Q$7+VLOOKUP(B14,Parámetros!$C:$AL,22,0)*G14/Indices!$R$7*Indices!$O$7/D14)*Parámetros!U18</f>
        <v>564.5860582418012</v>
      </c>
      <c r="R14" s="269">
        <f>+(VLOOKUP(B14,Parámetros!$C:$AL,24,0)*F14/Indices!$Q$7+VLOOKUP(B14,Parámetros!$C:$AL,25,0)*Indices!$O$7/D14*G14/Indices!$R$7)*Parámetros!Y18</f>
        <v>78.513367785864546</v>
      </c>
      <c r="S14" s="269">
        <f>+(VLOOKUP(B14,Parámetros!$C:$AL,27,0)*F14/Indices!$Q$7+VLOOKUP(B14,Parámetros!$C:$AL,28,0)*Indices!$O$7/D14*G14/Indices!$R$7)*Parámetros!AB18</f>
        <v>8.3992351538911265</v>
      </c>
      <c r="T14" s="269">
        <f>Parámetros!AE18*Indices!$O$7/D14*G14/Indices!$R$7</f>
        <v>1.0210186454369683</v>
      </c>
      <c r="U14" s="269">
        <f>+ROUND(ROUND(((Q14*VLOOKUP($B14,Parámetros!$C:$AL,33,0)+R14*VLOOKUP($B14,Parámetros!$C:$AL,34,0)+S14*VLOOKUP($B14,Parámetros!$C:$AL,35,0))*VLOOKUP($B14,Parámetros!$C:$AL,36,0)+T14)*(VLOOKUP($B14,Parámetros!$C:$AL,31,0))*(VLOOKUP($B14,Parámetros!$C:$AL,32,0)),Indices!$T$7)*D14,Indices!$U$7)</f>
        <v>6534.95</v>
      </c>
      <c r="V14" s="269">
        <f>+VLOOKUP($B14,Parámetros!$C:$AL,30,0)</f>
        <v>6119.19</v>
      </c>
      <c r="W14" s="273">
        <f t="shared" si="2"/>
        <v>6.7943633062545805E-2</v>
      </c>
    </row>
    <row r="15" spans="1:40" x14ac:dyDescent="0.2">
      <c r="B15" s="38">
        <v>44774</v>
      </c>
      <c r="C15" s="38" t="s">
        <v>125</v>
      </c>
      <c r="D15" s="233">
        <f>+VLOOKUP(DATE(YEAR(B15),MONTH(B15)-2,1),Indices!$B:$F,2,0)</f>
        <v>857.77</v>
      </c>
      <c r="E15" s="228">
        <f>+VLOOKUP(DATE(YEAR(B15),MONTH(B15)-7,1),Indices!$B:$F,4,0)</f>
        <v>239.96700000000001</v>
      </c>
      <c r="F15" s="228">
        <f>+VLOOKUP(DATE(YEAR(B15),MONTH(B15)-7,1),Indices!$B:$F,5,0)</f>
        <v>246.453</v>
      </c>
      <c r="G15" s="233">
        <f>+VLOOKUP(DATE(YEAR(B15),MONTH(B15)-2,1),Indices!$B:$F,3,0)</f>
        <v>122.48</v>
      </c>
      <c r="H15" s="234" t="s">
        <v>48</v>
      </c>
      <c r="I15" s="233">
        <f>(VLOOKUP(B15,Parámetros!$C:$Q,5,0)*E15/Indices!$P$7+VLOOKUP(B15,Parámetros!$C:$Q,6,0)*F15/Indices!$Q$7+VLOOKUP(B15,Parámetros!$C:$Q,7,0)*G15/Indices!$R$7*Indices!$O$7/D15)*Parámetros!F19</f>
        <v>593.2695196920472</v>
      </c>
      <c r="J15" s="233">
        <f>+(VLOOKUP($B15,Parámetros!$C:$L,9,0)*F15/Indices!$Q$7+VLOOKUP($B15,Parámetros!$C:$L,10,0)*Indices!$O$7/D15*G15/Indices!$R$7)*Parámetros!J19</f>
        <v>84.386395203357054</v>
      </c>
      <c r="K15" s="233">
        <f>+(VLOOKUP(B15,Parámetros!$C:$O,12,0)*F15/Indices!$Q$7+VLOOKUP(B15,Parámetros!$C:$O,13,0)*Indices!$O$7/D15*G15/Indices!$R$7)*Parámetros!M19</f>
        <v>13.052610950457698</v>
      </c>
      <c r="L15" s="233">
        <f>+Parámetros!P19*Indices!$O$7/D15*G15/Indices!$R$7</f>
        <v>1.1853594900281754</v>
      </c>
      <c r="M15" s="233">
        <f>+ROUND(ROUND(((I15*VLOOKUP($B15,Parámetros!$C:$AL,33,0)+J15*VLOOKUP($B15,Parámetros!$C:$AL,34,0)+K15*VLOOKUP($B15,Parámetros!$C:$AL,35,0))*VLOOKUP($B15,Parámetros!$C:$AL,36,0)+L15)*(VLOOKUP($B15,Parámetros!$C:$AL,16,0))*(VLOOKUP($B15,Parámetros!$C:$AL,17,0)),Indices!$T$7)*D15,Indices!$U$7)</f>
        <v>7093.33</v>
      </c>
      <c r="N15" s="233">
        <f>+VLOOKUP($B15,Parámetros!$C:$AL,15,0)</f>
        <v>6531.51</v>
      </c>
      <c r="O15" s="235">
        <f t="shared" ref="O15:O19" si="6">+M15/N15-1</f>
        <v>8.6016862869382482E-2</v>
      </c>
      <c r="P15" s="234" t="s">
        <v>56</v>
      </c>
      <c r="Q15" s="233">
        <f>(VLOOKUP(B15,Parámetros!$C:$AL,20,0)*E15/Indices!$P$7+VLOOKUP(B15,Parámetros!$C:$AL,21,0)*F15/Indices!$Q$7+VLOOKUP(B15,Parámetros!$C:$AL,22,0)*G15/Indices!$R$7*Indices!$O$7/D15)*Parámetros!U19</f>
        <v>569.27674633896129</v>
      </c>
      <c r="R15" s="233">
        <f>+(VLOOKUP(B15,Parámetros!$C:$AL,24,0)*F15/Indices!$Q$7+VLOOKUP(B15,Parámetros!$C:$AL,25,0)*Indices!$O$7/D15*G15/Indices!$R$7)*Parámetros!Y19</f>
        <v>79.613293998235903</v>
      </c>
      <c r="S15" s="233">
        <f>+(VLOOKUP(B15,Parámetros!$C:$AL,27,0)*F15/Indices!$Q$7+VLOOKUP(B15,Parámetros!$C:$AL,28,0)*Indices!$O$7/D15*G15/Indices!$R$7)*Parámetros!AB19</f>
        <v>8.4195797733669711</v>
      </c>
      <c r="T15" s="233">
        <f>Parámetros!AE19*Indices!$O$7/D15*G15/Indices!$R$7</f>
        <v>1.020458531162467</v>
      </c>
      <c r="U15" s="233">
        <f>+ROUND(ROUND(((Q15*VLOOKUP($B15,Parámetros!$C:$AL,33,0)+R15*VLOOKUP($B15,Parámetros!$C:$AL,34,0)+S15*VLOOKUP($B15,Parámetros!$C:$AL,35,0))*VLOOKUP($B15,Parámetros!$C:$AL,36,0)+T15)*(VLOOKUP($B15,Parámetros!$C:$AL,31,0))*(VLOOKUP($B15,Parámetros!$C:$AL,32,0)),Indices!$T$7)*D15,Indices!$U$7)</f>
        <v>6648.92</v>
      </c>
      <c r="V15" s="233">
        <f>+VLOOKUP($B15,Parámetros!$C:$AL,30,0)</f>
        <v>6119.19</v>
      </c>
      <c r="W15" s="235">
        <f t="shared" si="2"/>
        <v>8.6568647157548639E-2</v>
      </c>
    </row>
    <row r="16" spans="1:40" x14ac:dyDescent="0.2">
      <c r="B16" s="278">
        <v>44805</v>
      </c>
      <c r="C16" s="278" t="s">
        <v>126</v>
      </c>
      <c r="D16" s="279">
        <f>+VLOOKUP(DATE(YEAR(B16),MONTH(B16)-2,1),Indices!$B:$F,2,0)</f>
        <v>953.71</v>
      </c>
      <c r="E16" s="280">
        <f>+VLOOKUP(DATE(YEAR(B16),MONTH(B16)-7,1),Indices!$B:$F,4,0)</f>
        <v>239.23699999999999</v>
      </c>
      <c r="F16" s="280">
        <f>+VLOOKUP(DATE(YEAR(B16),MONTH(B16)-7,1),Indices!$B:$F,5,0)</f>
        <v>252.66</v>
      </c>
      <c r="G16" s="279">
        <f>+VLOOKUP(DATE(YEAR(B16),MONTH(B16)-2,1),Indices!$B:$F,3,0)</f>
        <v>124.16</v>
      </c>
      <c r="H16" s="281" t="s">
        <v>48</v>
      </c>
      <c r="I16" s="279">
        <f>(VLOOKUP(B16,Parámetros!$C:$Q,5,0)*E16/Indices!$P$7+VLOOKUP(B16,Parámetros!$C:$Q,6,0)*F16/Indices!$Q$7+VLOOKUP(B16,Parámetros!$C:$Q,7,0)*G16/Indices!$R$7*Indices!$O$7/D16)*Parámetros!F20</f>
        <v>581.94346025474556</v>
      </c>
      <c r="J16" s="279">
        <f>+(VLOOKUP($B16,Parámetros!$C:$L,9,0)*F16/Indices!$Q$7+VLOOKUP($B16,Parámetros!$C:$L,10,0)*Indices!$O$7/D16*G16/Indices!$R$7)*Parámetros!J20</f>
        <v>82.529071653263969</v>
      </c>
      <c r="K16" s="279">
        <f>+(VLOOKUP(B16,Parámetros!$C:$O,12,0)*F16/Indices!$Q$7+VLOOKUP(B16,Parámetros!$C:$O,13,0)*Indices!$O$7/D16*G16/Indices!$R$7)*Parámetros!M20</f>
        <v>12.155032534042336</v>
      </c>
      <c r="L16" s="279">
        <f>+Parámetros!P20*Indices!$O$7/D16*G16/Indices!$R$7</f>
        <v>1.0807397464214834</v>
      </c>
      <c r="M16" s="282">
        <f>+ROUND(ROUND(((I16*VLOOKUP($B16,Parámetros!$C:$AL,33,0)+J16*VLOOKUP($B16,Parámetros!$C:$AL,34,0)+K16*VLOOKUP($B16,Parámetros!$C:$AL,35,0))*VLOOKUP($B16,Parámetros!$C:$AL,36,0)+L16)*(VLOOKUP($B16,Parámetros!$C:$AL,16,0))*(VLOOKUP($B16,Parámetros!$C:$AL,17,0)),Indices!$T$7)*D16,Indices!$U$7)</f>
        <v>7641.7</v>
      </c>
      <c r="N16" s="282">
        <v>7641.7</v>
      </c>
      <c r="O16" s="283">
        <f t="shared" si="6"/>
        <v>0</v>
      </c>
      <c r="P16" s="284" t="s">
        <v>56</v>
      </c>
      <c r="Q16" s="282">
        <f>(VLOOKUP(B16,Parámetros!$C:$AL,20,0)*E16/Indices!$P$7+VLOOKUP(B16,Parámetros!$C:$AL,21,0)*F16/Indices!$Q$7+VLOOKUP(B16,Parámetros!$C:$AL,22,0)*G16/Indices!$R$7*Indices!$O$7/D16)*Parámetros!U20</f>
        <v>558.60943008261154</v>
      </c>
      <c r="R16" s="282">
        <f>+(VLOOKUP(B16,Parámetros!$C:$AL,24,0)*F16/Indices!$Q$7+VLOOKUP(B16,Parámetros!$C:$AL,25,0)*Indices!$O$7/D16*G16/Indices!$R$7)*Parámetros!Y20</f>
        <v>78.676696440248165</v>
      </c>
      <c r="S16" s="282">
        <f>+(VLOOKUP(B16,Parámetros!$C:$AL,27,0)*F16/Indices!$Q$7+VLOOKUP(B16,Parámetros!$C:$AL,28,0)*Indices!$O$7/D16*G16/Indices!$R$7)*Parámetros!AB20</f>
        <v>7.8094179837938453</v>
      </c>
      <c r="T16" s="282">
        <f>Parámetros!AE20*Indices!$O$7/D16*G16/Indices!$R$7</f>
        <v>0.93039293436284887</v>
      </c>
      <c r="U16" s="282">
        <f>+ROUND(ROUND(((Q16*VLOOKUP($B16,Parámetros!$C:$AL,33,0)+R16*VLOOKUP($B16,Parámetros!$C:$AL,34,0)+S16*VLOOKUP($B16,Parámetros!$C:$AL,35,0))*VLOOKUP($B16,Parámetros!$C:$AL,36,0)+T16)*(VLOOKUP($B16,Parámetros!$C:$AL,31,0))*(VLOOKUP($B16,Parámetros!$C:$AL,32,0)),Indices!$T$7)*D16,Indices!$U$7)</f>
        <v>7180.29</v>
      </c>
      <c r="V16" s="279">
        <v>7180.29</v>
      </c>
      <c r="W16" s="285">
        <f t="shared" ref="W16" si="7">+U16/V16-1</f>
        <v>0</v>
      </c>
    </row>
    <row r="17" spans="2:31" x14ac:dyDescent="0.2">
      <c r="B17" s="38">
        <v>44835</v>
      </c>
      <c r="C17" s="38" t="s">
        <v>127</v>
      </c>
      <c r="D17" s="233">
        <f>+VLOOKUP(DATE(YEAR(B17),MONTH(B17)-2,1),Indices!$B:$F,2,0)</f>
        <v>904.35</v>
      </c>
      <c r="E17" s="228">
        <f>+VLOOKUP(DATE(YEAR(B17),MONTH(B17)-7,1),Indices!$B:$F,4,0)</f>
        <v>241.803</v>
      </c>
      <c r="F17" s="228">
        <f>+VLOOKUP(DATE(YEAR(B17),MONTH(B17)-7,1),Indices!$B:$F,5,0)</f>
        <v>260.01400000000001</v>
      </c>
      <c r="G17" s="233">
        <f>+VLOOKUP(DATE(YEAR(B17),MONTH(B17)-2,1),Indices!$B:$F,3,0)</f>
        <v>125.67</v>
      </c>
      <c r="H17" s="234" t="s">
        <v>48</v>
      </c>
      <c r="I17" s="233">
        <f>(VLOOKUP(B17,Parámetros!$C:$Q,5,0)*E17/Indices!$P$7+VLOOKUP(B17,Parámetros!$C:$Q,6,0)*F17/Indices!$Q$7+VLOOKUP(B17,Parámetros!$C:$Q,7,0)*G17/Indices!$R$7*Indices!$O$7/D17)*Parámetros!F21</f>
        <v>595.39273943574165</v>
      </c>
      <c r="J17" s="233">
        <f>+(VLOOKUP($B17,Parámetros!$C:$L,9,0)*F17/Indices!$Q$7+VLOOKUP($B17,Parámetros!$C:$L,10,0)*Indices!$O$7/D17*G17/Indices!$R$7)*Parámetros!J21</f>
        <v>86.157076729838167</v>
      </c>
      <c r="K17" s="233">
        <f>+(VLOOKUP(B17,Parámetros!$C:$O,12,0)*F17/Indices!$Q$7+VLOOKUP(B17,Parámetros!$C:$O,13,0)*Indices!$O$7/D17*G17/Indices!$R$7)*Parámetros!M21</f>
        <v>12.886291162046234</v>
      </c>
      <c r="L17" s="233">
        <f>+Parámetros!P21*Indices!$O$7/D17*G17/Indices!$R$7</f>
        <v>1.1535882622979756</v>
      </c>
      <c r="M17" s="290">
        <f>+ROUND(ROUND(((I17*VLOOKUP($B17,Parámetros!$C:$AL,33,0)+J17*VLOOKUP($B17,Parámetros!$C:$AL,34,0)+K17*VLOOKUP($B17,Parámetros!$C:$AL,35,0))*VLOOKUP($B17,Parámetros!$C:$AL,36,0)+L17)*(VLOOKUP($B17,Parámetros!$C:$AL,16,0))*(VLOOKUP($B17,Parámetros!$C:$AL,17,0)),Indices!$T$7)*D17,Indices!$U$7)</f>
        <v>7479.97</v>
      </c>
      <c r="N17" s="290">
        <f>+VLOOKUP($B17,Parámetros!$C:$AL,15,0)</f>
        <v>6974.43</v>
      </c>
      <c r="O17" s="291">
        <f t="shared" si="6"/>
        <v>7.248477653370955E-2</v>
      </c>
      <c r="P17" s="292" t="s">
        <v>56</v>
      </c>
      <c r="Q17" s="290">
        <f>(VLOOKUP(B17,Parámetros!$C:$AL,20,0)*E17/Indices!$P$7+VLOOKUP(B17,Parámetros!$C:$AL,21,0)*F17/Indices!$Q$7+VLOOKUP(B17,Parámetros!$C:$AL,22,0)*G17/Indices!$R$7*Indices!$O$7/D17)*Parámetros!U21</f>
        <v>571.40209550547672</v>
      </c>
      <c r="R17" s="290">
        <f>+(VLOOKUP(B17,Parámetros!$C:$AL,24,0)*F17/Indices!$Q$7+VLOOKUP(B17,Parámetros!$C:$AL,25,0)*Indices!$O$7/D17*G17/Indices!$R$7)*Parámetros!Y21</f>
        <v>81.872162630067251</v>
      </c>
      <c r="S17" s="290">
        <f>+(VLOOKUP(B17,Parámetros!$C:$AL,27,0)*F17/Indices!$Q$7+VLOOKUP(B17,Parámetros!$C:$AL,28,0)*Indices!$O$7/D17*G17/Indices!$R$7)*Parámetros!AB21</f>
        <v>8.2898057413822581</v>
      </c>
      <c r="T17" s="290">
        <f>Parámetros!AE21*Indices!$O$7/D17*G17/Indices!$R$7</f>
        <v>0.99310714902436381</v>
      </c>
      <c r="U17" s="290">
        <f>+ROUND(ROUND(((Q17*VLOOKUP($B17,Parámetros!$C:$AL,33,0)+R17*VLOOKUP($B17,Parámetros!$C:$AL,34,0)+S17*VLOOKUP($B17,Parámetros!$C:$AL,35,0))*VLOOKUP($B17,Parámetros!$C:$AL,36,0)+T17)*(VLOOKUP($B17,Parámetros!$C:$AL,31,0))*(VLOOKUP($B17,Parámetros!$C:$AL,32,0)),Indices!$T$7)*D17,Indices!$U$7)</f>
        <v>7020.38</v>
      </c>
      <c r="V17" s="233">
        <f>+VLOOKUP($B17,Parámetros!$C:$AL,30,0)</f>
        <v>6535.12</v>
      </c>
      <c r="W17" s="235">
        <f t="shared" ref="W17" si="8">+U17/V17-1</f>
        <v>7.4254183549804731E-2</v>
      </c>
    </row>
    <row r="18" spans="2:31" x14ac:dyDescent="0.2">
      <c r="B18" s="278">
        <v>44866</v>
      </c>
      <c r="C18" s="278" t="s">
        <v>127</v>
      </c>
      <c r="D18" s="279">
        <f>+VLOOKUP(DATE(YEAR(B18),MONTH(B18)-2,1),Indices!$B:$F,2,0)</f>
        <v>921.01</v>
      </c>
      <c r="E18" s="280">
        <f>+VLOOKUP(DATE(YEAR(B18),MONTH(B18)-7,1),Indices!$B:$F,4,0)</f>
        <v>247.43899999999999</v>
      </c>
      <c r="F18" s="280">
        <f>+VLOOKUP(DATE(YEAR(B18),MONTH(B18)-7,1),Indices!$B:$F,5,0)</f>
        <v>265.31</v>
      </c>
      <c r="G18" s="279">
        <f>+VLOOKUP(DATE(YEAR(B18),MONTH(B18)-2,1),Indices!$B:$F,3,0)</f>
        <v>126.75</v>
      </c>
      <c r="H18" s="281" t="s">
        <v>48</v>
      </c>
      <c r="I18" s="279">
        <f>(VLOOKUP(B18,Parámetros!$C:$Q,5,0)*E18/Indices!$P$7+VLOOKUP(B18,Parámetros!$C:$Q,6,0)*F18/Indices!$Q$7+VLOOKUP(B18,Parámetros!$C:$Q,7,0)*G18/Indices!$R$7*Indices!$O$7/D18)*Parámetros!F22</f>
        <v>605.13936377695939</v>
      </c>
      <c r="J18" s="279">
        <f>+(VLOOKUP($B18,Parámetros!$C:$L,9,0)*F18/Indices!$Q$7+VLOOKUP($B18,Parámetros!$C:$L,10,0)*Indices!$O$7/D18*G18/Indices!$R$7)*Parámetros!J22</f>
        <v>86.886348876101465</v>
      </c>
      <c r="K18" s="279">
        <f>+(VLOOKUP(B18,Parámetros!$C:$O,12,0)*F18/Indices!$Q$7+VLOOKUP(B18,Parámetros!$C:$O,13,0)*Indices!$O$7/D18*G18/Indices!$R$7)*Parámetros!M22</f>
        <v>12.832966438075566</v>
      </c>
      <c r="L18" s="279">
        <f>+Parámetros!P22*Indices!$O$7/D18*G18/Indices!$R$7</f>
        <v>1.1424557259586079</v>
      </c>
      <c r="M18" s="282">
        <f>+ROUND(ROUND(((I18*VLOOKUP($B18,Parámetros!$C:$AL,33,0)+J18*VLOOKUP($B18,Parámetros!$C:$AL,34,0)+K18*VLOOKUP($B18,Parámetros!$C:$AL,35,0))*VLOOKUP($B18,Parámetros!$C:$AL,36,0)+L18)*(VLOOKUP($B18,Parámetros!$C:$AL,16,0))*(VLOOKUP($B18,Parámetros!$C:$AL,17,0)),Indices!$T$7)*D18,Indices!$U$7)</f>
        <v>7703.79</v>
      </c>
      <c r="N18" s="282">
        <f>+VLOOKUP($B18,Parámetros!$C:$AL,15,0)</f>
        <v>6974.43</v>
      </c>
      <c r="O18" s="283">
        <f t="shared" si="6"/>
        <v>0.10457628795471452</v>
      </c>
      <c r="P18" s="284" t="s">
        <v>56</v>
      </c>
      <c r="Q18" s="282">
        <f>(VLOOKUP(B18,Parámetros!$C:$AL,20,0)*E18/Indices!$P$7+VLOOKUP(B18,Parámetros!$C:$AL,21,0)*F18/Indices!$Q$7+VLOOKUP(B18,Parámetros!$C:$AL,22,0)*G18/Indices!$R$7*Indices!$O$7/D18)*Parámetros!U22</f>
        <v>580.8295275652473</v>
      </c>
      <c r="R18" s="282">
        <f>+(VLOOKUP(B18,Parámetros!$C:$AL,24,0)*F18/Indices!$Q$7+VLOOKUP(B18,Parámetros!$C:$AL,25,0)*Indices!$O$7/D18*G18/Indices!$R$7)*Parámetros!Y22</f>
        <v>82.782216682835596</v>
      </c>
      <c r="S18" s="282">
        <f>+(VLOOKUP(B18,Parámetros!$C:$AL,27,0)*F18/Indices!$Q$7+VLOOKUP(B18,Parámetros!$C:$AL,28,0)*Indices!$O$7/D18*G18/Indices!$R$7)*Parámetros!AB22</f>
        <v>8.2469214340664561</v>
      </c>
      <c r="T18" s="282">
        <f>Parámetros!AE22*Indices!$O$7/D18*G18/Indices!$R$7</f>
        <v>0.9835233124106173</v>
      </c>
      <c r="U18" s="282">
        <f>+ROUND(ROUND(((Q18*VLOOKUP($B18,Parámetros!$C:$AL,33,0)+R18*VLOOKUP($B18,Parámetros!$C:$AL,34,0)+S18*VLOOKUP($B18,Parámetros!$C:$AL,35,0))*VLOOKUP($B18,Parámetros!$C:$AL,36,0)+T18)*(VLOOKUP($B18,Parámetros!$C:$AL,31,0))*(VLOOKUP($B18,Parámetros!$C:$AL,32,0)),Indices!$T$7)*D18,Indices!$U$7)</f>
        <v>7235.92</v>
      </c>
      <c r="V18" s="279">
        <f>+VLOOKUP($B18,Parámetros!$C:$AL,30,0)</f>
        <v>6535.12</v>
      </c>
      <c r="W18" s="293">
        <f t="shared" ref="W18" si="9">+U18/V18-1</f>
        <v>0.10723598036455351</v>
      </c>
    </row>
    <row r="19" spans="2:31" x14ac:dyDescent="0.2">
      <c r="B19" s="38">
        <v>44896</v>
      </c>
      <c r="C19" s="38" t="s">
        <v>129</v>
      </c>
      <c r="D19" s="233">
        <f>+VLOOKUP(DATE(YEAR(B19),MONTH(B19)-2,1),Indices!$B:$F,2,0)</f>
        <v>955.89</v>
      </c>
      <c r="E19" s="228">
        <f>+VLOOKUP(DATE(YEAR(B19),MONTH(B19)-7,1),Indices!$B:$F,4,0)</f>
        <v>247.69300000000001</v>
      </c>
      <c r="F19" s="228">
        <f>+VLOOKUP(DATE(YEAR(B19),MONTH(B19)-7,1),Indices!$B:$F,5,0)</f>
        <v>273.25099999999998</v>
      </c>
      <c r="G19" s="233">
        <f>+VLOOKUP(DATE(YEAR(B19),MONTH(B19)-2,1),Indices!$B:$F,3,0)</f>
        <v>127.41</v>
      </c>
      <c r="H19" s="234" t="s">
        <v>48</v>
      </c>
      <c r="I19" s="233">
        <f>(VLOOKUP(B19,Parámetros!$C:$Q,5,0)*E19/Indices!$P$7+VLOOKUP(B19,Parámetros!$C:$Q,6,0)*F19/Indices!$Q$7+VLOOKUP(B19,Parámetros!$C:$Q,7,0)*G19/Indices!$R$7*Indices!$O$7/D19)*Parámetros!F23</f>
        <v>603.08774052951037</v>
      </c>
      <c r="J19" s="233">
        <f>+(VLOOKUP($B19,Parámetros!$C:$L,9,0)*F19/Indices!$Q$7+VLOOKUP($B19,Parámetros!$C:$L,10,0)*Indices!$O$7/D19*G19/Indices!$R$7)*Parámetros!J23</f>
        <v>87.409331044441288</v>
      </c>
      <c r="K19" s="233">
        <f>+(VLOOKUP(B19,Parámetros!$C:$O,12,0)*F19/Indices!$Q$7+VLOOKUP(B19,Parámetros!$C:$O,13,0)*Indices!$O$7/D19*G19/Indices!$R$7)*Parámetros!M23</f>
        <v>12.577339571409743</v>
      </c>
      <c r="L19" s="233">
        <f>+Parámetros!P23*Indices!$O$7/D19*G19/Indices!$R$7</f>
        <v>1.1064998356207929</v>
      </c>
      <c r="M19" s="290">
        <f>+ROUND(ROUND(((I19*VLOOKUP($B19,Parámetros!$C:$AL,33,0)+J19*VLOOKUP($B19,Parámetros!$C:$AL,34,0)+K19*VLOOKUP($B19,Parámetros!$C:$AL,35,0))*VLOOKUP($B19,Parámetros!$C:$AL,36,0)+L19)*(VLOOKUP($B19,Parámetros!$C:$AL,16,0))*(VLOOKUP($B19,Parámetros!$C:$AL,17,0)),Indices!$T$7)*D19,Indices!$U$7)</f>
        <v>7940</v>
      </c>
      <c r="N19" s="290">
        <f>+VLOOKUP($B19,Parámetros!$C:$AL,15,0)</f>
        <v>7940</v>
      </c>
      <c r="O19" s="291">
        <f t="shared" si="6"/>
        <v>0</v>
      </c>
      <c r="P19" s="292" t="s">
        <v>56</v>
      </c>
      <c r="Q19" s="290">
        <f>(VLOOKUP(B19,Parámetros!$C:$AL,20,0)*E19/Indices!$P$7+VLOOKUP(B19,Parámetros!$C:$AL,21,0)*F19/Indices!$Q$7+VLOOKUP(B19,Parámetros!$C:$AL,22,0)*G19/Indices!$R$7*Indices!$O$7/D19)*Parámetros!U23</f>
        <v>578.93876348389119</v>
      </c>
      <c r="R19" s="290">
        <f>+(VLOOKUP(B19,Parámetros!$C:$AL,24,0)*F19/Indices!$Q$7+VLOOKUP(B19,Parámetros!$C:$AL,25,0)*Indices!$O$7/D19*G19/Indices!$R$7)*Parámetros!Y23</f>
        <v>83.725384275160735</v>
      </c>
      <c r="S19" s="290">
        <f>+(VLOOKUP(B19,Parámetros!$C:$AL,27,0)*F19/Indices!$Q$7+VLOOKUP(B19,Parámetros!$C:$AL,28,0)*Indices!$O$7/D19*G19/Indices!$R$7)*Parámetros!AB23</f>
        <v>8.0648369799851078</v>
      </c>
      <c r="T19" s="290">
        <f>Parámetros!AE23*Indices!$O$7/D19*G19/Indices!$R$7</f>
        <v>0.95256941585060106</v>
      </c>
      <c r="U19" s="290">
        <f>+ROUND(ROUND(((Q19*VLOOKUP($B19,Parámetros!$C:$AL,33,0)+R19*VLOOKUP($B19,Parámetros!$C:$AL,34,0)+S19*VLOOKUP($B19,Parámetros!$C:$AL,35,0))*VLOOKUP($B19,Parámetros!$C:$AL,36,0)+T19)*(VLOOKUP($B19,Parámetros!$C:$AL,31,0))*(VLOOKUP($B19,Parámetros!$C:$AL,32,0)),Indices!$T$7)*D19,Indices!$U$7)</f>
        <v>7465.69</v>
      </c>
      <c r="V19" s="233">
        <f>+VLOOKUP($B19,Parámetros!$C:$AL,30,0)</f>
        <v>7465.69</v>
      </c>
      <c r="W19" s="235">
        <f t="shared" ref="W19" si="10">+U19/V19-1</f>
        <v>0</v>
      </c>
    </row>
    <row r="20" spans="2:31" x14ac:dyDescent="0.2">
      <c r="B20" s="194">
        <v>44927</v>
      </c>
      <c r="C20" s="194" t="s">
        <v>129</v>
      </c>
      <c r="D20" s="227">
        <f>+VLOOKUP(DATE(YEAR(B20),MONTH(B20)-2,1),Indices!$B:$F,2,0)</f>
        <v>917.05</v>
      </c>
      <c r="E20" s="258">
        <f>+VLOOKUP(DATE(YEAR(B20),MONTH(B20)-7,1),Indices!$B:$F,4,0)</f>
        <v>248.535</v>
      </c>
      <c r="F20" s="258">
        <f>+VLOOKUP(DATE(YEAR(B20),MONTH(B20)-7,1),Indices!$B:$F,5,0)</f>
        <v>280.25099999999998</v>
      </c>
      <c r="G20" s="227">
        <f>+VLOOKUP(DATE(YEAR(B20),MONTH(B20)-2,1),Indices!$B:$F,3,0)</f>
        <v>128.65</v>
      </c>
      <c r="H20" s="232" t="s">
        <v>48</v>
      </c>
      <c r="I20" s="227">
        <f>(VLOOKUP(B20,Parámetros!$C:$Q,5,0)*E20/Indices!$P$7+VLOOKUP(B20,Parámetros!$C:$Q,6,0)*F20/Indices!$Q$7+VLOOKUP(B20,Parámetros!$C:$Q,7,0)*G20/Indices!$R$7*Indices!$O$7/D20)*Parámetros!F24</f>
        <v>611.84584885073355</v>
      </c>
      <c r="J20" s="227">
        <f>+(VLOOKUP($B20,Parámetros!$C:$L,9,0)*F20/Indices!$Q$7+VLOOKUP($B20,Parámetros!$C:$L,10,0)*Indices!$O$7/D20*G20/Indices!$R$7)*Parámetros!J24</f>
        <v>90.529419541186158</v>
      </c>
      <c r="K20" s="227">
        <f>+(VLOOKUP(B20,Parámetros!$C:$O,12,0)*F20/Indices!$Q$7+VLOOKUP(B20,Parámetros!$C:$O,13,0)*Indices!$O$7/D20*G20/Indices!$R$7)*Parámetros!M24</f>
        <v>13.170776876621137</v>
      </c>
      <c r="L20" s="227">
        <f>+Parámetros!P24*Indices!$O$7/D20*G20/Indices!$R$7</f>
        <v>1.1645885922600843</v>
      </c>
      <c r="M20" s="294">
        <f>+ROUND(ROUND(((I20*VLOOKUP($B20,Parámetros!$C:$AL,33,0)+J20*VLOOKUP($B20,Parámetros!$C:$AL,34,0)+K20*VLOOKUP($B20,Parámetros!$C:$AL,35,0))*VLOOKUP($B20,Parámetros!$C:$AL,36,0)+L20)*(VLOOKUP($B20,Parámetros!$C:$AL,16,0))*(VLOOKUP($B20,Parámetros!$C:$AL,17,0)),Indices!$T$7)*D20,Indices!$U$7)</f>
        <v>7790.16</v>
      </c>
      <c r="N20" s="294">
        <f>+VLOOKUP($B20,Parámetros!$C:$AL,15,0)</f>
        <v>7940</v>
      </c>
      <c r="O20" s="303">
        <f>+M20/N20-1</f>
        <v>-1.8871536523929477E-2</v>
      </c>
      <c r="P20" s="295" t="s">
        <v>56</v>
      </c>
      <c r="Q20" s="294">
        <f>(VLOOKUP(B20,Parámetros!$C:$AL,20,0)*E20/Indices!$P$7+VLOOKUP(B20,Parámetros!$C:$AL,21,0)*F20/Indices!$Q$7+VLOOKUP(B20,Parámetros!$C:$AL,22,0)*G20/Indices!$R$7*Indices!$O$7/D20)*Parámetros!U24</f>
        <v>587.24314470078127</v>
      </c>
      <c r="R20" s="294">
        <f>+(VLOOKUP(B20,Parámetros!$C:$AL,24,0)*F20/Indices!$Q$7+VLOOKUP(B20,Parámetros!$C:$AL,25,0)*Indices!$O$7/D20*G20/Indices!$R$7)*Parámetros!Y24</f>
        <v>86.520863140991509</v>
      </c>
      <c r="S20" s="294">
        <f>+(VLOOKUP(B20,Parámetros!$C:$AL,27,0)*F20/Indices!$Q$7+VLOOKUP(B20,Parámetros!$C:$AL,28,0)*Indices!$O$7/D20*G20/Indices!$R$7)*Parámetros!AB24</f>
        <v>8.4532957100738297</v>
      </c>
      <c r="T20" s="294">
        <f>Parámetros!AE24*Indices!$O$7/D20*G20/Indices!$R$7</f>
        <v>1.0025771711145981</v>
      </c>
      <c r="U20" s="294">
        <f>+ROUND(ROUND(((Q20*VLOOKUP($B20,Parámetros!$C:$AL,33,0)+R20*VLOOKUP($B20,Parámetros!$C:$AL,34,0)+S20*VLOOKUP($B20,Parámetros!$C:$AL,35,0))*VLOOKUP($B20,Parámetros!$C:$AL,36,0)+T20)*(VLOOKUP($B20,Parámetros!$C:$AL,31,0))*(VLOOKUP($B20,Parámetros!$C:$AL,32,0)),Indices!$T$7)*D20,Indices!$U$7)</f>
        <v>7318.06</v>
      </c>
      <c r="V20" s="227">
        <f>+VLOOKUP($B20,Parámetros!$C:$AL,30,0)</f>
        <v>7465.69</v>
      </c>
      <c r="W20" s="230">
        <f t="shared" ref="W20:W21" si="11">+U20/V20-1</f>
        <v>-1.9774461570196356E-2</v>
      </c>
      <c r="AA20" s="211"/>
      <c r="AB20" s="211"/>
      <c r="AC20" s="211"/>
      <c r="AD20" s="211"/>
      <c r="AE20" s="211"/>
    </row>
    <row r="21" spans="2:31" x14ac:dyDescent="0.2">
      <c r="B21" s="38">
        <v>44958</v>
      </c>
      <c r="C21" s="38" t="s">
        <v>129</v>
      </c>
      <c r="D21" s="233">
        <f>+VLOOKUP(DATE(YEAR(B21),MONTH(B21)-2,1),Indices!$B:$F,2,0)</f>
        <v>875.66</v>
      </c>
      <c r="E21" s="228">
        <f>+VLOOKUP(DATE(YEAR(B21),MONTH(B21)-7,1),Indices!$B:$F,4,0)</f>
        <v>248.31200000000001</v>
      </c>
      <c r="F21" s="228">
        <f>+VLOOKUP(DATE(YEAR(B21),MONTH(B21)-7,1),Indices!$B:$F,5,0)</f>
        <v>272.274</v>
      </c>
      <c r="G21" s="233">
        <f>+VLOOKUP(DATE(YEAR(B21),MONTH(B21)-2,1),Indices!$B:$F,3,0)</f>
        <v>129.02000000000001</v>
      </c>
      <c r="H21" s="234" t="s">
        <v>48</v>
      </c>
      <c r="I21" s="233">
        <f>(VLOOKUP(B21,Parámetros!$C:$Q,5,0)*E21/Indices!$P$7+VLOOKUP(B21,Parámetros!$C:$Q,6,0)*F21/Indices!$Q$7+VLOOKUP(B21,Parámetros!$C:$Q,7,0)*G21/Indices!$R$7*Indices!$O$7/D21)*Parámetros!F25</f>
        <v>616.32883616416711</v>
      </c>
      <c r="J21" s="233">
        <f>+(VLOOKUP($B21,Parámetros!$C:$L,9,0)*F21/Indices!$Q$7+VLOOKUP($B21,Parámetros!$C:$L,10,0)*Indices!$O$7/D21*G21/Indices!$R$7)*Parámetros!J25</f>
        <v>90.668530343092144</v>
      </c>
      <c r="K21" s="233">
        <f>+(VLOOKUP(B21,Parámetros!$C:$O,12,0)*F21/Indices!$Q$7+VLOOKUP(B21,Parámetros!$C:$O,13,0)*Indices!$O$7/D21*G21/Indices!$R$7)*Parámetros!M25</f>
        <v>13.632161580676772</v>
      </c>
      <c r="L21" s="233">
        <f>+Parámetros!P25*Indices!$O$7/D21*G21/Indices!$R$7</f>
        <v>1.2231431351911335</v>
      </c>
      <c r="M21" s="290">
        <f>+ROUND(ROUND(((I21*VLOOKUP($B21,Parámetros!$C:$AL,33,0)+J21*VLOOKUP($B21,Parámetros!$C:$AL,34,0)+K21*VLOOKUP($B21,Parámetros!$C:$AL,35,0))*VLOOKUP($B21,Parámetros!$C:$AL,36,0)+L21)*(VLOOKUP($B21,Parámetros!$C:$AL,16,0))*(VLOOKUP($B21,Parámetros!$C:$AL,17,0)),Indices!$T$7)*D21,Indices!$U$7)</f>
        <v>7540.13</v>
      </c>
      <c r="N21" s="290">
        <f>+VLOOKUP($B21,Parámetros!$C:$AL,15,0)</f>
        <v>7940</v>
      </c>
      <c r="O21" s="291">
        <f t="shared" ref="O21" si="12">+M21/N21-1</f>
        <v>-5.0361460957178861E-2</v>
      </c>
      <c r="P21" s="292" t="s">
        <v>56</v>
      </c>
      <c r="Q21" s="290">
        <f>(VLOOKUP(B21,Parámetros!$C:$AL,20,0)*E21/Indices!$P$7+VLOOKUP(B21,Parámetros!$C:$AL,21,0)*F21/Indices!$Q$7+VLOOKUP(B21,Parámetros!$C:$AL,22,0)*G21/Indices!$R$7*Indices!$O$7/D21)*Parámetros!U25</f>
        <v>591.42349136261544</v>
      </c>
      <c r="R21" s="290">
        <f>+(VLOOKUP(B21,Parámetros!$C:$AL,24,0)*F21/Indices!$Q$7+VLOOKUP(B21,Parámetros!$C:$AL,25,0)*Indices!$O$7/D21*G21/Indices!$R$7)*Parámetros!Y25</f>
        <v>86.064212709614949</v>
      </c>
      <c r="S21" s="290">
        <f>+(VLOOKUP(B21,Parámetros!$C:$AL,27,0)*F21/Indices!$Q$7+VLOOKUP(B21,Parámetros!$C:$AL,28,0)*Indices!$O$7/D21*G21/Indices!$R$7)*Parámetros!AB25</f>
        <v>8.7733840690660205</v>
      </c>
      <c r="T21" s="290">
        <f>Parámetros!AE25*Indices!$O$7/D21*G21/Indices!$R$7</f>
        <v>1.0529859149387084</v>
      </c>
      <c r="U21" s="290">
        <f>+ROUND(ROUND(((Q21*VLOOKUP($B21,Parámetros!$C:$AL,33,0)+R21*VLOOKUP($B21,Parámetros!$C:$AL,34,0)+S21*VLOOKUP($B21,Parámetros!$C:$AL,35,0))*VLOOKUP($B21,Parámetros!$C:$AL,36,0)+T21)*(VLOOKUP($B21,Parámetros!$C:$AL,31,0))*(VLOOKUP($B21,Parámetros!$C:$AL,32,0)),Indices!$T$7)*D21,Indices!$U$7)</f>
        <v>7072.62</v>
      </c>
      <c r="V21" s="233">
        <f>+VLOOKUP($B21,Parámetros!$C:$AL,30,0)</f>
        <v>7465.69</v>
      </c>
      <c r="W21" s="235">
        <f t="shared" si="11"/>
        <v>-5.2650190404369801E-2</v>
      </c>
    </row>
    <row r="22" spans="2:31" x14ac:dyDescent="0.2">
      <c r="B22" s="194">
        <v>44986</v>
      </c>
      <c r="C22" s="194" t="s">
        <v>129</v>
      </c>
      <c r="D22" s="227">
        <f>+VLOOKUP(DATE(YEAR(B22),MONTH(B22)-2,1),Indices!$B:$F,2,0)</f>
        <v>826.34</v>
      </c>
      <c r="E22" s="258">
        <f>+VLOOKUP(DATE(YEAR(B22),MONTH(B22)-7,1),Indices!$B:$F,4,0)</f>
        <v>246.82900000000001</v>
      </c>
      <c r="F22" s="258">
        <f>+VLOOKUP(DATE(YEAR(B22),MONTH(B22)-7,1),Indices!$B:$F,5,0)</f>
        <v>269.54599999999999</v>
      </c>
      <c r="G22" s="227">
        <f>+VLOOKUP(DATE(YEAR(B22),MONTH(B22)-2,1),Indices!$B:$F,3,0)</f>
        <v>130.05000000000001</v>
      </c>
      <c r="H22" s="232" t="s">
        <v>48</v>
      </c>
      <c r="I22" s="227">
        <f>(VLOOKUP(B22,Parámetros!$C:$Q,5,0)*E22/Indices!$P$7+VLOOKUP(B22,Parámetros!$C:$Q,6,0)*F22/Indices!$Q$7+VLOOKUP(B22,Parámetros!$C:$Q,7,0)*G22/Indices!$R$7*Indices!$O$7/D22)*Parámetros!F26</f>
        <v>622.02453520742483</v>
      </c>
      <c r="J22" s="227">
        <f>+(VLOOKUP($B22,Parámetros!$C:$L,9,0)*F22/Indices!$Q$7+VLOOKUP($B22,Parámetros!$C:$L,10,0)*Indices!$O$7/D22*G22/Indices!$R$7)*Parámetros!J26</f>
        <v>92.591592496580986</v>
      </c>
      <c r="K22" s="227">
        <f>+(VLOOKUP(B22,Parámetros!$C:$O,12,0)*F22/Indices!$Q$7+VLOOKUP(B22,Parámetros!$C:$O,13,0)*Indices!$O$7/D22*G22/Indices!$R$7)*Parámetros!M26</f>
        <v>14.367440094818486</v>
      </c>
      <c r="L22" s="227">
        <f>+Parámetros!P26*Indices!$O$7/D22*G22/Indices!$R$7</f>
        <v>1.3064937516001256</v>
      </c>
      <c r="M22" s="294">
        <f>+ROUND(ROUND(((I22*VLOOKUP($B22,Parámetros!$C:$AL,33,0)+J22*VLOOKUP($B22,Parámetros!$C:$AL,34,0)+K22*VLOOKUP($B22,Parámetros!$C:$AL,35,0))*VLOOKUP($B22,Parámetros!$C:$AL,36,0)+L22)*(VLOOKUP($B22,Parámetros!$C:$AL,16,0))*(VLOOKUP($B22,Parámetros!$C:$AL,17,0)),Indices!$T$7)*D22,Indices!$U$7)</f>
        <v>7260.14</v>
      </c>
      <c r="N22" s="294">
        <f>+VLOOKUP($B22,Parámetros!$C:$AL,15,0)</f>
        <v>7940</v>
      </c>
      <c r="O22" s="303">
        <f>+M22/N22-1</f>
        <v>-8.5624685138539047E-2</v>
      </c>
      <c r="P22" s="295" t="s">
        <v>56</v>
      </c>
      <c r="Q22" s="294">
        <f>(VLOOKUP(B22,Parámetros!$C:$AL,20,0)*E22/Indices!$P$7+VLOOKUP(B22,Parámetros!$C:$AL,21,0)*F22/Indices!$Q$7+VLOOKUP(B22,Parámetros!$C:$AL,22,0)*G22/Indices!$R$7*Indices!$O$7/D22)*Parámetros!U26</f>
        <v>596.7125837920147</v>
      </c>
      <c r="R22" s="294">
        <f>+(VLOOKUP(B22,Parámetros!$C:$AL,24,0)*F22/Indices!$Q$7+VLOOKUP(B22,Parámetros!$C:$AL,25,0)*Indices!$O$7/D22*G22/Indices!$R$7)*Parámetros!Y26</f>
        <v>87.293338065548937</v>
      </c>
      <c r="S22" s="294">
        <f>+(VLOOKUP(B22,Parámetros!$C:$AL,27,0)*F22/Indices!$Q$7+VLOOKUP(B22,Parámetros!$C:$AL,28,0)*Indices!$O$7/D22*G22/Indices!$R$7)*Parámetros!AB26</f>
        <v>9.2700431645128116</v>
      </c>
      <c r="T22" s="294">
        <f>Parámetros!AE26*Indices!$O$7/D22*G22/Indices!$R$7</f>
        <v>1.124741233310677</v>
      </c>
      <c r="U22" s="294">
        <f>+ROUND(ROUND(((Q22*VLOOKUP($B22,Parámetros!$C:$AL,33,0)+R22*VLOOKUP($B22,Parámetros!$C:$AL,34,0)+S22*VLOOKUP($B22,Parámetros!$C:$AL,35,0))*VLOOKUP($B22,Parámetros!$C:$AL,36,0)+T22)*(VLOOKUP($B22,Parámetros!$C:$AL,31,0))*(VLOOKUP($B22,Parámetros!$C:$AL,32,0)),Indices!$T$7)*D22,Indices!$U$7)</f>
        <v>6797.72</v>
      </c>
      <c r="V22" s="227">
        <f>+VLOOKUP($B22,Parámetros!$C:$AL,30,0)</f>
        <v>7465.69</v>
      </c>
      <c r="W22" s="230">
        <f t="shared" ref="W22:W23" si="13">+U22/V22-1</f>
        <v>-8.9471971110506754E-2</v>
      </c>
    </row>
    <row r="23" spans="2:31" x14ac:dyDescent="0.2">
      <c r="B23" s="38">
        <v>45017</v>
      </c>
      <c r="C23" s="38" t="s">
        <v>131</v>
      </c>
      <c r="D23" s="233">
        <f>+VLOOKUP(DATE(YEAR(B23),MONTH(B23)-2,1),Indices!$B:$F,2,0)</f>
        <v>798.26</v>
      </c>
      <c r="E23" s="228">
        <f>+VLOOKUP(DATE(YEAR(B23),MONTH(B23)-7,1),Indices!$B:$F,4,0)</f>
        <v>245.03399999999999</v>
      </c>
      <c r="F23" s="228">
        <f>+VLOOKUP(DATE(YEAR(B23),MONTH(B23)-7,1),Indices!$B:$F,5,0)</f>
        <v>267.89800000000002</v>
      </c>
      <c r="G23" s="233">
        <f>+VLOOKUP(DATE(YEAR(B23),MONTH(B23)-2,1),Indices!$B:$F,3,0)</f>
        <v>129.97</v>
      </c>
      <c r="H23" s="234" t="s">
        <v>48</v>
      </c>
      <c r="I23" s="233">
        <f>(VLOOKUP(B23,Parámetros!$C:$Q,5,0)*E23/Indices!$P$7+VLOOKUP(B23,Parámetros!$C:$Q,6,0)*F23/Indices!$Q$7+VLOOKUP(B23,Parámetros!$C:$Q,7,0)*G23/Indices!$R$7*Indices!$O$7/D23)*Parámetros!F27</f>
        <v>623.30906550767918</v>
      </c>
      <c r="J23" s="233">
        <f>+(VLOOKUP($B23,Parámetros!$C:$L,9,0)*F23/Indices!$Q$7+VLOOKUP($B23,Parámetros!$C:$L,10,0)*Indices!$O$7/D23*G23/Indices!$R$7)*Parámetros!J27</f>
        <v>93.598530610136109</v>
      </c>
      <c r="K23" s="233">
        <f>+(VLOOKUP(B23,Parámetros!$C:$O,12,0)*F23/Indices!$Q$7+VLOOKUP(B23,Parámetros!$C:$O,13,0)*Indices!$O$7/D23*G23/Indices!$R$7)*Parámetros!M27</f>
        <v>14.763962275397718</v>
      </c>
      <c r="L23" s="233">
        <f>+Parámetros!P27*Indices!$O$7/D23*G23/Indices!$R$7</f>
        <v>1.3516196827411546</v>
      </c>
      <c r="M23" s="290">
        <f>+ROUND(ROUND(((I23*VLOOKUP($B23,Parámetros!$C:$AL,33,0)+J23*VLOOKUP($B23,Parámetros!$C:$AL,34,0)+K23*VLOOKUP($B23,Parámetros!$C:$AL,35,0))*VLOOKUP($B23,Parámetros!$C:$AL,36,0)+L23)*(VLOOKUP($B23,Parámetros!$C:$AL,16,0))*(VLOOKUP($B23,Parámetros!$C:$AL,17,0)),Indices!$T$7)*D23,Indices!$U$7)</f>
        <v>7074.26</v>
      </c>
      <c r="N23" s="290">
        <f>+VLOOKUP($B23,Parámetros!$C:$AL,15,0)</f>
        <v>7790.34</v>
      </c>
      <c r="O23" s="291">
        <f t="shared" ref="O23" si="14">+M23/N23-1</f>
        <v>-9.1918966309557759E-2</v>
      </c>
      <c r="P23" s="292" t="s">
        <v>56</v>
      </c>
      <c r="Q23" s="290">
        <f>(VLOOKUP(B23,Parámetros!$C:$AL,20,0)*E23/Indices!$P$7+VLOOKUP(B23,Parámetros!$C:$AL,21,0)*F23/Indices!$Q$7+VLOOKUP(B23,Parámetros!$C:$AL,22,0)*G23/Indices!$R$7*Indices!$O$7/D23)*Parámetros!U27</f>
        <v>597.84091634017636</v>
      </c>
      <c r="R23" s="290">
        <f>+(VLOOKUP(B23,Parámetros!$C:$AL,24,0)*F23/Indices!$Q$7+VLOOKUP(B23,Parámetros!$C:$AL,25,0)*Indices!$O$7/D23*G23/Indices!$R$7)*Parámetros!Y27</f>
        <v>87.921523718922074</v>
      </c>
      <c r="S23" s="290">
        <f>+(VLOOKUP(B23,Parámetros!$C:$AL,27,0)*F23/Indices!$Q$7+VLOOKUP(B23,Parámetros!$C:$AL,28,0)*Indices!$O$7/D23*G23/Indices!$R$7)*Parámetros!AB27</f>
        <v>9.538120407808016</v>
      </c>
      <c r="T23" s="290">
        <f>Parámetros!AE27*Indices!$O$7/D23*G23/Indices!$R$7</f>
        <v>1.1635894829740923</v>
      </c>
      <c r="U23" s="290">
        <f>+ROUND(ROUND(((Q23*VLOOKUP($B23,Parámetros!$C:$AL,33,0)+R23*VLOOKUP($B23,Parámetros!$C:$AL,34,0)+S23*VLOOKUP($B23,Parámetros!$C:$AL,35,0))*VLOOKUP($B23,Parámetros!$C:$AL,36,0)+T23)*(VLOOKUP($B23,Parámetros!$C:$AL,31,0))*(VLOOKUP($B23,Parámetros!$C:$AL,32,0)),Indices!$T$7)*D23,Indices!$U$7)</f>
        <v>6616.86</v>
      </c>
      <c r="V23" s="233">
        <f>+VLOOKUP($B23,Parámetros!$C:$AL,30,0)</f>
        <v>7318.15</v>
      </c>
      <c r="W23" s="235">
        <f t="shared" si="13"/>
        <v>-9.5828863852203128E-2</v>
      </c>
    </row>
    <row r="24" spans="2:31" x14ac:dyDescent="0.2">
      <c r="B24" s="194">
        <v>45047</v>
      </c>
      <c r="C24" s="194" t="s">
        <v>131</v>
      </c>
      <c r="D24" s="227">
        <f>+VLOOKUP(DATE(YEAR(B24),MONTH(B24)-2,1),Indices!$B:$F,2,0)</f>
        <v>809.5</v>
      </c>
      <c r="E24" s="258">
        <f>+VLOOKUP(DATE(YEAR(B24),MONTH(B24)-7,1),Indices!$B:$F,4,0)</f>
        <v>245.499</v>
      </c>
      <c r="F24" s="258">
        <f>+VLOOKUP(DATE(YEAR(B24),MONTH(B24)-7,1),Indices!$B:$F,5,0)</f>
        <v>265.06099999999998</v>
      </c>
      <c r="G24" s="227">
        <f>+VLOOKUP(DATE(YEAR(B24),MONTH(B24)-2,1),Indices!$B:$F,3,0)</f>
        <v>131.38</v>
      </c>
      <c r="H24" s="232" t="s">
        <v>48</v>
      </c>
      <c r="I24" s="227">
        <f>(VLOOKUP(B24,Parámetros!$C:$Q,5,0)*E24/Indices!$P$7+VLOOKUP(B24,Parámetros!$C:$Q,6,0)*F24/Indices!$Q$7+VLOOKUP(B24,Parámetros!$C:$Q,7,0)*G24/Indices!$R$7*Indices!$O$7/D24)*Parámetros!F28</f>
        <v>623.22641777015872</v>
      </c>
      <c r="J24" s="227">
        <f>+(VLOOKUP($B24,Parámetros!$C:$L,9,0)*F24/Indices!$Q$7+VLOOKUP($B24,Parámetros!$C:$L,10,0)*Indices!$O$7/D24*G24/Indices!$R$7)*Parámetros!J28</f>
        <v>92.903669681566072</v>
      </c>
      <c r="K24" s="227">
        <f>+(VLOOKUP(B24,Parámetros!$C:$O,12,0)*F24/Indices!$Q$7+VLOOKUP(B24,Parámetros!$C:$O,13,0)*Indices!$O$7/D24*G24/Indices!$R$7)*Parámetros!M28</f>
        <v>14.698859926016132</v>
      </c>
      <c r="L24" s="227">
        <f>+Parámetros!P28*Indices!$O$7/D24*G24/Indices!$R$7</f>
        <v>1.3473119468241239</v>
      </c>
      <c r="M24" s="294">
        <f>+ROUND(ROUND(((I24*VLOOKUP($B24,Parámetros!$C:$AL,33,0)+J24*VLOOKUP($B24,Parámetros!$C:$AL,34,0)+K24*VLOOKUP($B24,Parámetros!$C:$AL,35,0))*VLOOKUP($B24,Parámetros!$C:$AL,36,0)+L24)*(VLOOKUP($B24,Parámetros!$C:$AL,16,0))*(VLOOKUP($B24,Parámetros!$C:$AL,17,0)),Indices!$T$7)*D24,Indices!$U$7)</f>
        <v>7163.51</v>
      </c>
      <c r="N24" s="294">
        <f>+VLOOKUP($B24,Parámetros!$C:$AL,15,0)</f>
        <v>7790.34</v>
      </c>
      <c r="O24" s="303">
        <f t="shared" ref="O24:O25" si="15">+M24/N24-1</f>
        <v>-8.0462470187437241E-2</v>
      </c>
      <c r="P24" s="295" t="s">
        <v>56</v>
      </c>
      <c r="Q24" s="294">
        <f>(VLOOKUP(B24,Parámetros!$C:$AL,20,0)*E24/Indices!$P$7+VLOOKUP(B24,Parámetros!$C:$AL,21,0)*F24/Indices!$Q$7+VLOOKUP(B24,Parámetros!$C:$AL,22,0)*G24/Indices!$R$7*Indices!$O$7/D24)*Parámetros!U28</f>
        <v>597.77181928848779</v>
      </c>
      <c r="R24" s="294">
        <f>+(VLOOKUP(B24,Parámetros!$C:$AL,24,0)*F24/Indices!$Q$7+VLOOKUP(B24,Parámetros!$C:$AL,25,0)*Indices!$O$7/D24*G24/Indices!$R$7)*Parámetros!Y28</f>
        <v>87.209328735485144</v>
      </c>
      <c r="S24" s="294">
        <f>+(VLOOKUP(B24,Parámetros!$C:$AL,27,0)*F24/Indices!$Q$7+VLOOKUP(B24,Parámetros!$C:$AL,28,0)*Indices!$O$7/D24*G24/Indices!$R$7)*Parámetros!AB28</f>
        <v>9.4982911437829483</v>
      </c>
      <c r="T24" s="294">
        <f>Parámetros!AE28*Indices!$O$7/D24*G24/Indices!$R$7</f>
        <v>1.1598810165522946</v>
      </c>
      <c r="U24" s="294">
        <f>+ROUND(ROUND(((Q24*VLOOKUP($B24,Parámetros!$C:$AL,33,0)+R24*VLOOKUP($B24,Parámetros!$C:$AL,34,0)+S24*VLOOKUP($B24,Parámetros!$C:$AL,35,0))*VLOOKUP($B24,Parámetros!$C:$AL,36,0)+T24)*(VLOOKUP($B24,Parámetros!$C:$AL,31,0))*(VLOOKUP($B24,Parámetros!$C:$AL,32,0)),Indices!$T$7)*D24,Indices!$U$7)</f>
        <v>6700.39</v>
      </c>
      <c r="V24" s="227">
        <f>+VLOOKUP($B24,Parámetros!$C:$AL,30,0)</f>
        <v>7318.15</v>
      </c>
      <c r="W24" s="230">
        <f t="shared" ref="W24:W25" si="16">+U24/V24-1</f>
        <v>-8.4414776958657511E-2</v>
      </c>
    </row>
    <row r="25" spans="2:31" x14ac:dyDescent="0.2">
      <c r="B25" s="38">
        <v>45078</v>
      </c>
      <c r="C25" s="38" t="s">
        <v>131</v>
      </c>
      <c r="D25" s="233">
        <f>+VLOOKUP(DATE(YEAR(B25),MONTH(B25)-2,1),Indices!$B:$F,2,0)</f>
        <v>803.84</v>
      </c>
      <c r="E25" s="228">
        <f>+VLOOKUP(DATE(YEAR(B25),MONTH(B25)-7,1),Indices!$B:$F,4,0)</f>
        <v>245.959</v>
      </c>
      <c r="F25" s="228">
        <f>+VLOOKUP(DATE(YEAR(B25),MONTH(B25)-7,1),Indices!$B:$F,5,0)</f>
        <v>263.15699999999998</v>
      </c>
      <c r="G25" s="233">
        <f>+VLOOKUP(DATE(YEAR(B25),MONTH(B25)-2,1),Indices!$B:$F,3,0)</f>
        <v>131.79</v>
      </c>
      <c r="H25" s="234" t="s">
        <v>48</v>
      </c>
      <c r="I25" s="233">
        <f>(VLOOKUP(B25,Parámetros!$C:$Q,5,0)*E25/Indices!$P$7+VLOOKUP(B25,Parámetros!$C:$Q,6,0)*F25/Indices!$Q$7+VLOOKUP(B25,Parámetros!$C:$Q,7,0)*G25/Indices!$R$7*Indices!$O$7/D25)*Parámetros!F29</f>
        <v>625.18592682520273</v>
      </c>
      <c r="J25" s="233">
        <f>+(VLOOKUP($B25,Parámetros!$C:$L,9,0)*F25/Indices!$Q$7+VLOOKUP($B25,Parámetros!$C:$L,10,0)*Indices!$O$7/D25*G25/Indices!$R$7)*Parámetros!J29</f>
        <v>92.929313026453713</v>
      </c>
      <c r="K25" s="233">
        <f>+(VLOOKUP(B25,Parámetros!$C:$O,12,0)*F25/Indices!$Q$7+VLOOKUP(B25,Parámetros!$C:$O,13,0)*Indices!$O$7/D25*G25/Indices!$R$7)*Parámetros!M29</f>
        <v>14.806658104427713</v>
      </c>
      <c r="L25" s="233">
        <f>+Parámetros!P29*Indices!$O$7/D25*G25/Indices!$R$7</f>
        <v>1.3610328293685718</v>
      </c>
      <c r="M25" s="290">
        <f>+ROUND(ROUND(((I25*VLOOKUP($B25,Parámetros!$C:$AL,33,0)+J25*VLOOKUP($B25,Parámetros!$C:$AL,34,0)+K25*VLOOKUP($B25,Parámetros!$C:$AL,35,0))*VLOOKUP($B25,Parámetros!$C:$AL,36,0)+L25)*(VLOOKUP($B25,Parámetros!$C:$AL,16,0))*(VLOOKUP($B25,Parámetros!$C:$AL,17,0)),Indices!$T$7)*D25,Indices!$U$7)</f>
        <v>7142.68</v>
      </c>
      <c r="N25" s="290">
        <f>+VLOOKUP($B25,Parámetros!$C:$AL,15,0)</f>
        <v>7790.34</v>
      </c>
      <c r="O25" s="291">
        <f t="shared" si="15"/>
        <v>-8.3136294436443103E-2</v>
      </c>
      <c r="P25" s="292" t="s">
        <v>56</v>
      </c>
      <c r="Q25" s="290">
        <f>(VLOOKUP(B25,Parámetros!$C:$AL,20,0)*E25/Indices!$P$7+VLOOKUP(B25,Parámetros!$C:$AL,21,0)*F25/Indices!$Q$7+VLOOKUP(B25,Parámetros!$C:$AL,22,0)*G25/Indices!$R$7*Indices!$O$7/D25)*Parámetros!U29</f>
        <v>599.62810824304245</v>
      </c>
      <c r="R25" s="290">
        <f>+(VLOOKUP(B25,Parámetros!$C:$AL,24,0)*F25/Indices!$Q$7+VLOOKUP(B25,Parámetros!$C:$AL,25,0)*Indices!$O$7/D25*G25/Indices!$R$7)*Parámetros!Y29</f>
        <v>87.094748166375524</v>
      </c>
      <c r="S25" s="290">
        <f>+(VLOOKUP(B25,Parámetros!$C:$AL,27,0)*F25/Indices!$Q$7+VLOOKUP(B25,Parámetros!$C:$AL,28,0)*Indices!$O$7/D25*G25/Indices!$R$7)*Parámetros!AB29</f>
        <v>9.5731309641241964</v>
      </c>
      <c r="T25" s="290">
        <f>Parámetros!AE29*Indices!$O$7/D25*G25/Indices!$R$7</f>
        <v>1.1716931223019413</v>
      </c>
      <c r="U25" s="290">
        <f>+ROUND(ROUND(((Q25*VLOOKUP($B25,Parámetros!$C:$AL,33,0)+R25*VLOOKUP($B25,Parámetros!$C:$AL,34,0)+S25*VLOOKUP($B25,Parámetros!$C:$AL,35,0))*VLOOKUP($B25,Parámetros!$C:$AL,36,0)+T25)*(VLOOKUP($B25,Parámetros!$C:$AL,31,0))*(VLOOKUP($B25,Parámetros!$C:$AL,32,0)),Indices!$T$7)*D25,Indices!$U$7)</f>
        <v>6678.95</v>
      </c>
      <c r="V25" s="233">
        <f>+VLOOKUP($B25,Parámetros!$C:$AL,30,0)</f>
        <v>7318.15</v>
      </c>
      <c r="W25" s="235">
        <f t="shared" si="16"/>
        <v>-8.7344479137486886E-2</v>
      </c>
    </row>
    <row r="26" spans="2:31" x14ac:dyDescent="0.2">
      <c r="B26" s="194">
        <v>45108</v>
      </c>
      <c r="C26" s="194" t="s">
        <v>131</v>
      </c>
      <c r="D26" s="227">
        <f>+VLOOKUP(DATE(YEAR(B26),MONTH(B26)-2,1),Indices!$B:$F,2,0)</f>
        <v>798.64</v>
      </c>
      <c r="E26" s="258">
        <f>+VLOOKUP(DATE(YEAR(B26),MONTH(B26)-7,1),Indices!$B:$F,4,0)</f>
        <v>246.518</v>
      </c>
      <c r="F26" s="258">
        <f>+VLOOKUP(DATE(YEAR(B26),MONTH(B26)-7,1),Indices!$B:$F,5,0)</f>
        <v>257.89699999999999</v>
      </c>
      <c r="G26" s="227">
        <f>+VLOOKUP(DATE(YEAR(B26),MONTH(B26)-2,1),Indices!$B:$F,3,0)</f>
        <v>131.94</v>
      </c>
      <c r="H26" s="232" t="s">
        <v>48</v>
      </c>
      <c r="I26" s="227">
        <f>(VLOOKUP(B26,Parámetros!$C:$Q,5,0)*E26/Indices!$P$7+VLOOKUP(B26,Parámetros!$C:$Q,6,0)*F26/Indices!$Q$7+VLOOKUP(B26,Parámetros!$C:$Q,7,0)*G26/Indices!$R$7*Indices!$O$7/D26)*Parámetros!F30</f>
        <v>626.43154969893044</v>
      </c>
      <c r="J26" s="227">
        <f>+(VLOOKUP($B26,Parámetros!$C:$L,9,0)*F26/Indices!$Q$7+VLOOKUP($B26,Parámetros!$C:$L,10,0)*Indices!$O$7/D26*G26/Indices!$R$7)*Parámetros!J30</f>
        <v>92.186164941107478</v>
      </c>
      <c r="K26" s="227">
        <f>+(VLOOKUP(B26,Parámetros!$C:$O,12,0)*F26/Indices!$Q$7+VLOOKUP(B26,Parámetros!$C:$O,13,0)*Indices!$O$7/D26*G26/Indices!$R$7)*Parámetros!M30</f>
        <v>14.853821299723021</v>
      </c>
      <c r="L26" s="227">
        <f>+Parámetros!P30*Indices!$O$7/D26*G26/Indices!$R$7</f>
        <v>1.3714537867126408</v>
      </c>
      <c r="M26" s="294">
        <f>+ROUND(ROUND(((I26*VLOOKUP($B26,Parámetros!$C:$AL,33,0)+J26*VLOOKUP($B26,Parámetros!$C:$AL,34,0)+K26*VLOOKUP($B26,Parámetros!$C:$AL,35,0))*VLOOKUP($B26,Parámetros!$C:$AL,36,0)+L26)*(VLOOKUP($B26,Parámetros!$C:$AL,16,0))*(VLOOKUP($B26,Parámetros!$C:$AL,17,0)),Indices!$T$7)*D26,Indices!$U$7)</f>
        <v>7110.53</v>
      </c>
      <c r="N26" s="294">
        <f>+VLOOKUP($B26,Parámetros!$C:$AL,15,0)</f>
        <v>7790.34</v>
      </c>
      <c r="O26" s="303">
        <f t="shared" ref="O26:O27" si="17">+M26/N26-1</f>
        <v>-8.7263200322450718E-2</v>
      </c>
      <c r="P26" s="295" t="s">
        <v>56</v>
      </c>
      <c r="Q26" s="294">
        <f>(VLOOKUP(B26,Parámetros!$C:$AL,20,0)*E26/Indices!$P$7+VLOOKUP(B26,Parámetros!$C:$AL,21,0)*F26/Indices!$Q$7+VLOOKUP(B26,Parámetros!$C:$AL,22,0)*G26/Indices!$R$7*Indices!$O$7/D26)*Parámetros!U30</f>
        <v>600.80403484658086</v>
      </c>
      <c r="R26" s="294">
        <f>+(VLOOKUP(B26,Parámetros!$C:$AL,24,0)*F26/Indices!$Q$7+VLOOKUP(B26,Parámetros!$C:$AL,25,0)*Indices!$O$7/D26*G26/Indices!$R$7)*Parámetros!Y30</f>
        <v>86.176969495209221</v>
      </c>
      <c r="S26" s="294">
        <f>+(VLOOKUP(B26,Parámetros!$C:$AL,27,0)*F26/Indices!$Q$7+VLOOKUP(B26,Parámetros!$C:$AL,28,0)*Indices!$O$7/D26*G26/Indices!$R$7)*Parámetros!AB30</f>
        <v>9.6118356457519738</v>
      </c>
      <c r="T26" s="294">
        <f>Parámetros!AE30*Indices!$O$7/D26*G26/Indices!$R$7</f>
        <v>1.1806643710362661</v>
      </c>
      <c r="U26" s="294">
        <f>+ROUND(ROUND(((Q26*VLOOKUP($B26,Parámetros!$C:$AL,33,0)+R26*VLOOKUP($B26,Parámetros!$C:$AL,34,0)+S26*VLOOKUP($B26,Parámetros!$C:$AL,35,0))*VLOOKUP($B26,Parámetros!$C:$AL,36,0)+T26)*(VLOOKUP($B26,Parámetros!$C:$AL,31,0))*(VLOOKUP($B26,Parámetros!$C:$AL,32,0)),Indices!$T$7)*D26,Indices!$U$7)</f>
        <v>6646.6</v>
      </c>
      <c r="V26" s="227">
        <f>+VLOOKUP($B26,Parámetros!$C:$AL,30,0)</f>
        <v>7318.15</v>
      </c>
      <c r="W26" s="230">
        <f t="shared" ref="W26:W27" si="18">+U26/V26-1</f>
        <v>-9.1764995251532033E-2</v>
      </c>
    </row>
    <row r="27" spans="2:31" x14ac:dyDescent="0.2">
      <c r="B27" s="38">
        <v>45139</v>
      </c>
      <c r="C27" s="38" t="s">
        <v>132</v>
      </c>
      <c r="D27" s="233">
        <f>+VLOOKUP(DATE(YEAR(B27),MONTH(B27)-2,1),Indices!$B:$F,2,0)</f>
        <v>799.87</v>
      </c>
      <c r="E27" s="228">
        <f>+VLOOKUP(DATE(YEAR(B27),MONTH(B27)-7,1),Indices!$B:$F,4,0)</f>
        <v>247.08099999999999</v>
      </c>
      <c r="F27" s="228">
        <f>+VLOOKUP(DATE(YEAR(B27),MONTH(B27)-7,1),Indices!$B:$F,5,0)</f>
        <v>260.22699999999998</v>
      </c>
      <c r="G27" s="233">
        <f>+VLOOKUP(DATE(YEAR(B27),MONTH(B27)-2,1),Indices!$B:$F,3,0)</f>
        <v>131.74</v>
      </c>
      <c r="H27" s="234" t="s">
        <v>48</v>
      </c>
      <c r="I27" s="233">
        <f>(VLOOKUP(B27,Parámetros!$C:$Q,5,0)*E27/Indices!$P$7+VLOOKUP(B27,Parámetros!$C:$Q,6,0)*F27/Indices!$Q$7+VLOOKUP(B27,Parámetros!$C:$Q,7,0)*G27/Indices!$R$7*Indices!$O$7/D27)*Parámetros!F31</f>
        <v>627.37264765253076</v>
      </c>
      <c r="J27" s="233">
        <f>+(VLOOKUP($B27,Parámetros!$C:$L,9,0)*F27/Indices!$Q$7+VLOOKUP($B27,Parámetros!$C:$L,10,0)*Indices!$O$7/D27*G27/Indices!$R$7)*Parámetros!J31</f>
        <v>92.5281326010724</v>
      </c>
      <c r="K27" s="233">
        <f>+(VLOOKUP(B27,Parámetros!$C:$O,12,0)*F27/Indices!$Q$7+VLOOKUP(B27,Parámetros!$C:$O,13,0)*Indices!$O$7/D27*G27/Indices!$R$7)*Parámetros!M31</f>
        <v>14.83686431769207</v>
      </c>
      <c r="L27" s="233">
        <f>+Parámetros!P31*Indices!$O$7/D27*G27/Indices!$R$7</f>
        <v>1.3672691254071905</v>
      </c>
      <c r="M27" s="290">
        <f>+ROUND(ROUND(((I27*VLOOKUP($B27,Parámetros!$C:$AL,33,0)+J27*VLOOKUP($B27,Parámetros!$C:$AL,34,0)+K27*VLOOKUP($B27,Parámetros!$C:$AL,35,0))*VLOOKUP($B27,Parámetros!$C:$AL,36,0)+L27)*(VLOOKUP($B27,Parámetros!$C:$AL,16,0))*(VLOOKUP($B27,Parámetros!$C:$AL,17,0)),Indices!$T$7)*D27,Indices!$U$7)</f>
        <v>7127.88</v>
      </c>
      <c r="N27" s="290">
        <f>+VLOOKUP($B27,Parámetros!$C:$AL,15,0)</f>
        <v>7127.88</v>
      </c>
      <c r="O27" s="291">
        <f t="shared" si="17"/>
        <v>0</v>
      </c>
      <c r="P27" s="292" t="s">
        <v>56</v>
      </c>
      <c r="Q27" s="290">
        <f>(VLOOKUP(B27,Parámetros!$C:$AL,20,0)*E27/Indices!$P$7+VLOOKUP(B27,Parámetros!$C:$AL,21,0)*F27/Indices!$Q$7+VLOOKUP(B27,Parámetros!$C:$AL,22,0)*G27/Indices!$R$7*Indices!$O$7/D27)*Parámetros!U31</f>
        <v>601.7218965396878</v>
      </c>
      <c r="R27" s="290">
        <f>+(VLOOKUP(B27,Parámetros!$C:$AL,24,0)*F27/Indices!$Q$7+VLOOKUP(B27,Parámetros!$C:$AL,25,0)*Indices!$O$7/D27*G27/Indices!$R$7)*Parámetros!Y31</f>
        <v>86.592952614987453</v>
      </c>
      <c r="S27" s="290">
        <f>+(VLOOKUP(B27,Parámetros!$C:$AL,27,0)*F27/Indices!$Q$7+VLOOKUP(B27,Parámetros!$C:$AL,28,0)*Indices!$O$7/D27*G27/Indices!$R$7)*Parámetros!AB31</f>
        <v>9.597328912855323</v>
      </c>
      <c r="T27" s="290">
        <f>Parámetros!AE31*Indices!$O$7/D27*G27/Indices!$R$7</f>
        <v>1.1770618577353682</v>
      </c>
      <c r="U27" s="290">
        <f>+ROUND(ROUND(((Q27*VLOOKUP($B27,Parámetros!$C:$AL,33,0)+R27*VLOOKUP($B27,Parámetros!$C:$AL,34,0)+S27*VLOOKUP($B27,Parámetros!$C:$AL,35,0))*VLOOKUP($B27,Parámetros!$C:$AL,36,0)+T27)*(VLOOKUP($B27,Parámetros!$C:$AL,31,0))*(VLOOKUP($B27,Parámetros!$C:$AL,32,0)),Indices!$T$7)*D27,Indices!$U$7)</f>
        <v>6664.12</v>
      </c>
      <c r="V27" s="233">
        <f>+VLOOKUP($B27,Parámetros!$C:$AL,30,0)</f>
        <v>6664.12</v>
      </c>
      <c r="W27" s="235">
        <f t="shared" si="18"/>
        <v>0</v>
      </c>
    </row>
    <row r="28" spans="2:31" x14ac:dyDescent="0.2">
      <c r="B28" s="194">
        <v>45170</v>
      </c>
      <c r="C28" s="194" t="s">
        <v>132</v>
      </c>
      <c r="D28" s="227">
        <f>+VLOOKUP(DATE(YEAR(B28),MONTH(B28)-2,1),Indices!$B:$F,2,0)</f>
        <v>813.4</v>
      </c>
      <c r="E28" s="258">
        <f>+VLOOKUP(DATE(YEAR(B28),MONTH(B28)-7,1),Indices!$B:$F,4,0)</f>
        <v>247.839</v>
      </c>
      <c r="F28" s="258">
        <f>+VLOOKUP(DATE(YEAR(B28),MONTH(B28)-7,1),Indices!$B:$F,5,0)</f>
        <v>258.66899999999998</v>
      </c>
      <c r="G28" s="227">
        <f>+VLOOKUP(DATE(YEAR(B28),MONTH(B28)-2,1),Indices!$B:$F,3,0)</f>
        <v>132.19999999999999</v>
      </c>
      <c r="H28" s="232" t="s">
        <v>48</v>
      </c>
      <c r="I28" s="227">
        <f>(VLOOKUP(B28,Parámetros!$C:$Q,5,0)*E28/Indices!$P$7+VLOOKUP(B28,Parámetros!$C:$Q,6,0)*F28/Indices!$Q$7+VLOOKUP(B28,Parámetros!$C:$Q,7,0)*G28/Indices!$R$7*Indices!$O$7/D28)*Parámetros!F32</f>
        <v>626.57183356856581</v>
      </c>
      <c r="J28" s="227">
        <f>+(VLOOKUP($B28,Parámetros!$C:$L,9,0)*F28/Indices!$Q$7+VLOOKUP($B28,Parámetros!$C:$L,10,0)*Indices!$O$7/D28*G28/Indices!$R$7)*Parámetros!J32</f>
        <v>91.682072295270558</v>
      </c>
      <c r="K28" s="227">
        <f>+(VLOOKUP(B28,Parámetros!$C:$O,12,0)*F28/Indices!$Q$7+VLOOKUP(B28,Parámetros!$C:$O,13,0)*Indices!$O$7/D28*G28/Indices!$R$7)*Parámetros!M32</f>
        <v>14.658096617504761</v>
      </c>
      <c r="L28" s="227">
        <f>+Parámetros!P32*Indices!$O$7/D28*G28/Indices!$R$7</f>
        <v>1.3492208484941453</v>
      </c>
      <c r="M28" s="294">
        <f>+ROUND(ROUND(((I28*VLOOKUP($B28,Parámetros!$C:$AL,33,0)+J28*VLOOKUP($B28,Parámetros!$C:$AL,34,0)+K28*VLOOKUP($B28,Parámetros!$C:$AL,35,0))*VLOOKUP($B28,Parámetros!$C:$AL,36,0)+L28)*(VLOOKUP($B28,Parámetros!$C:$AL,16,0))*(VLOOKUP($B28,Parámetros!$C:$AL,17,0)),Indices!$T$7)*D28,Indices!$U$7)</f>
        <v>7217.79</v>
      </c>
      <c r="N28" s="294">
        <f>+VLOOKUP($B28,Parámetros!$C:$AL,15,0)</f>
        <v>7127.88</v>
      </c>
      <c r="O28" s="303">
        <f t="shared" ref="O28" si="19">+M28/N28-1</f>
        <v>1.2613848717991871E-2</v>
      </c>
      <c r="P28" s="295" t="s">
        <v>56</v>
      </c>
      <c r="Q28" s="294">
        <f>(VLOOKUP(B28,Parámetros!$C:$AL,20,0)*E28/Indices!$P$7+VLOOKUP(B28,Parámetros!$C:$AL,21,0)*F28/Indices!$Q$7+VLOOKUP(B28,Parámetros!$C:$AL,22,0)*G28/Indices!$R$7*Indices!$O$7/D28)*Parámetros!U32</f>
        <v>600.99380044943143</v>
      </c>
      <c r="R28" s="294">
        <f>+(VLOOKUP(B28,Parámetros!$C:$AL,24,0)*F28/Indices!$Q$7+VLOOKUP(B28,Parámetros!$C:$AL,25,0)*Indices!$O$7/D28*G28/Indices!$R$7)*Parámetros!Y32</f>
        <v>85.858769471000471</v>
      </c>
      <c r="S28" s="294">
        <f>+(VLOOKUP(B28,Parámetros!$C:$AL,27,0)*F28/Indices!$Q$7+VLOOKUP(B28,Parámetros!$C:$AL,28,0)*Indices!$O$7/D28*G28/Indices!$R$7)*Parámetros!AB32</f>
        <v>9.4795676431695188</v>
      </c>
      <c r="T28" s="294">
        <f>Parámetros!AE32*Indices!$O$7/D28*G28/Indices!$R$7</f>
        <v>1.16152436189243</v>
      </c>
      <c r="U28" s="294">
        <f>+ROUND(ROUND(((Q28*VLOOKUP($B28,Parámetros!$C:$AL,33,0)+R28*VLOOKUP($B28,Parámetros!$C:$AL,34,0)+S28*VLOOKUP($B28,Parámetros!$C:$AL,35,0))*VLOOKUP($B28,Parámetros!$C:$AL,36,0)+T28)*(VLOOKUP($B28,Parámetros!$C:$AL,31,0))*(VLOOKUP($B28,Parámetros!$C:$AL,32,0)),Indices!$T$7)*D28,Indices!$U$7)</f>
        <v>6750.33</v>
      </c>
      <c r="V28" s="227">
        <f>+VLOOKUP($B28,Parámetros!$C:$AL,30,0)</f>
        <v>6664.12</v>
      </c>
      <c r="W28" s="230">
        <f t="shared" ref="W28" si="20">+U28/V28-1</f>
        <v>1.2936441720737379E-2</v>
      </c>
    </row>
    <row r="29" spans="2:31" x14ac:dyDescent="0.2">
      <c r="B29" s="38">
        <v>45200</v>
      </c>
      <c r="C29" s="38" t="s">
        <v>135</v>
      </c>
      <c r="D29" s="233">
        <f>+VLOOKUP(DATE(YEAR(B29),MONTH(B29)-2,1),Indices!$B:$F,2,0)</f>
        <v>855.66</v>
      </c>
      <c r="E29" s="228">
        <f>+VLOOKUP(DATE(YEAR(B29),MONTH(B29)-7,1),Indices!$B:$F,4,0)</f>
        <v>255.92699999999999</v>
      </c>
      <c r="F29" s="228">
        <f>+VLOOKUP(DATE(YEAR(B29),MONTH(B29)-7,1),Indices!$B:$F,5,0)</f>
        <v>257.06200000000001</v>
      </c>
      <c r="G29" s="233">
        <f>+VLOOKUP(DATE(YEAR(B29),MONTH(B29)-2,1),Indices!$B:$F,3,0)</f>
        <v>132.35</v>
      </c>
      <c r="H29" s="234" t="s">
        <v>48</v>
      </c>
      <c r="I29" s="233">
        <f>(VLOOKUP(B29,Parámetros!$C:$Q,5,0)*E29/Indices!$P$7+VLOOKUP(B29,Parámetros!$C:$Q,6,0)*F29/Indices!$Q$7+VLOOKUP(B29,Parámetros!$C:$Q,7,0)*G29/Indices!$R$7*Indices!$O$7/D29)*Parámetros!F33</f>
        <v>633.88343615234237</v>
      </c>
      <c r="J29" s="233">
        <f>+(VLOOKUP($B29,Parámetros!$C:$L,9,0)*F29/Indices!$Q$7+VLOOKUP($B29,Parámetros!$C:$L,10,0)*Indices!$O$7/D29*G29/Indices!$R$7)*Parámetros!J33</f>
        <v>89.430308316217321</v>
      </c>
      <c r="K29" s="233">
        <f>+(VLOOKUP(B29,Parámetros!$C:$O,12,0)*F29/Indices!$Q$7+VLOOKUP(B29,Parámetros!$C:$O,13,0)*Indices!$O$7/D29*G29/Indices!$R$7)*Parámetros!M33</f>
        <v>14.049061465108672</v>
      </c>
      <c r="L29" s="233">
        <f>+Parámetros!P33*Indices!$O$7/D29*G29/Indices!$R$7</f>
        <v>1.2840397597476665</v>
      </c>
      <c r="M29" s="290">
        <f>+ROUND(ROUND(((I29*VLOOKUP($B29,Parámetros!$C:$AL,33,0)+J29*VLOOKUP($B29,Parámetros!$C:$AL,34,0)+K29*VLOOKUP($B29,Parámetros!$C:$AL,35,0))*VLOOKUP($B29,Parámetros!$C:$AL,36,0)+L29)*(VLOOKUP($B29,Parámetros!$C:$AL,16,0))*(VLOOKUP($B29,Parámetros!$C:$AL,17,0)),Indices!$T$7)*D29,Indices!$U$7)</f>
        <v>7571.74</v>
      </c>
      <c r="N29" s="290">
        <f>+VLOOKUP($B29,Parámetros!$C:$AL,15,0)</f>
        <v>7110.69</v>
      </c>
      <c r="O29" s="291">
        <f t="shared" ref="O29" si="21">+M29/N29-1</f>
        <v>6.4838995934290544E-2</v>
      </c>
      <c r="P29" s="292" t="s">
        <v>56</v>
      </c>
      <c r="Q29" s="290">
        <f>(VLOOKUP(B29,Parámetros!$C:$AL,20,0)*E29/Indices!$P$7+VLOOKUP(B29,Parámetros!$C:$AL,21,0)*F29/Indices!$Q$7+VLOOKUP(B29,Parámetros!$C:$AL,22,0)*G29/Indices!$R$7*Indices!$O$7/D29)*Parámetros!U33</f>
        <v>608.20533165322377</v>
      </c>
      <c r="R29" s="290">
        <f>+(VLOOKUP(B29,Parámetros!$C:$AL,24,0)*F29/Indices!$Q$7+VLOOKUP(B29,Parámetros!$C:$AL,25,0)*Indices!$O$7/D29*G29/Indices!$R$7)*Parámetros!Y33</f>
        <v>84.082855214326443</v>
      </c>
      <c r="S29" s="290">
        <f>+(VLOOKUP(B29,Parámetros!$C:$AL,27,0)*F29/Indices!$Q$7+VLOOKUP(B29,Parámetros!$C:$AL,28,0)*Indices!$O$7/D29*G29/Indices!$R$7)*Parámetros!AB33</f>
        <v>9.0733889057534292</v>
      </c>
      <c r="T29" s="290">
        <f>Parámetros!AE33*Indices!$O$7/D29*G29/Indices!$R$7</f>
        <v>1.105410922348262</v>
      </c>
      <c r="U29" s="290">
        <f>+ROUND(ROUND(((Q29*VLOOKUP($B29,Parámetros!$C:$AL,33,0)+R29*VLOOKUP($B29,Parámetros!$C:$AL,34,0)+S29*VLOOKUP($B29,Parámetros!$C:$AL,35,0))*VLOOKUP($B29,Parámetros!$C:$AL,36,0)+T29)*(VLOOKUP($B29,Parámetros!$C:$AL,31,0))*(VLOOKUP($B29,Parámetros!$C:$AL,32,0)),Indices!$T$7)*D29,Indices!$U$7)</f>
        <v>7093.25</v>
      </c>
      <c r="V29" s="233">
        <f>+VLOOKUP($B29,Parámetros!$C:$AL,30,0)</f>
        <v>6646.68</v>
      </c>
      <c r="W29" s="235">
        <f t="shared" ref="W29" si="22">+U29/V29-1</f>
        <v>6.7186926405363279E-2</v>
      </c>
    </row>
    <row r="30" spans="2:31" x14ac:dyDescent="0.2">
      <c r="B30" s="194">
        <v>45231</v>
      </c>
      <c r="C30" s="194" t="s">
        <v>135</v>
      </c>
      <c r="D30" s="227">
        <f>+VLOOKUP(DATE(YEAR(B30),MONTH(B30)-2,1),Indices!$B:$F,2,0)</f>
        <v>884.4</v>
      </c>
      <c r="E30" s="258">
        <f>+VLOOKUP(DATE(YEAR(B30),MONTH(B30)-7,1),Indices!$B:$F,4,0)</f>
        <v>256.38799999999998</v>
      </c>
      <c r="F30" s="258">
        <f>+VLOOKUP(DATE(YEAR(B30),MONTH(B30)-7,1),Indices!$B:$F,5,0)</f>
        <v>256.90800000000002</v>
      </c>
      <c r="G30" s="227">
        <f>+VLOOKUP(DATE(YEAR(B30),MONTH(B30)-2,1),Indices!$B:$F,3,0)</f>
        <v>133.24</v>
      </c>
      <c r="H30" s="232" t="s">
        <v>48</v>
      </c>
      <c r="I30" s="227">
        <f>(VLOOKUP(B30,Parámetros!$C:$Q,5,0)*E30/Indices!$P$7+VLOOKUP(B30,Parámetros!$C:$Q,6,0)*F30/Indices!$Q$7+VLOOKUP(B30,Parámetros!$C:$Q,7,0)*G30/Indices!$R$7*Indices!$O$7/D30)*Parámetros!F34</f>
        <v>631.16424981997829</v>
      </c>
      <c r="J30" s="227">
        <f>+(VLOOKUP($B30,Parámetros!$C:$L,9,0)*F30/Indices!$Q$7+VLOOKUP($B30,Parámetros!$C:$L,10,0)*Indices!$O$7/D30*G30/Indices!$R$7)*Parámetros!J34</f>
        <v>88.411128911704353</v>
      </c>
      <c r="K30" s="227">
        <f>+(VLOOKUP(B30,Parámetros!$C:$O,12,0)*F30/Indices!$Q$7+VLOOKUP(B30,Parámetros!$C:$O,13,0)*Indices!$O$7/D30*G30/Indices!$R$7)*Parámetros!M34</f>
        <v>13.743320279671448</v>
      </c>
      <c r="L30" s="227">
        <f>+Parámetros!P34*Indices!$O$7/D30*G30/Indices!$R$7</f>
        <v>1.2506668723936614</v>
      </c>
      <c r="M30" s="294">
        <f>+ROUND(ROUND(((I30*VLOOKUP($B30,Parámetros!$C:$AL,33,0)+J30*VLOOKUP($B30,Parámetros!$C:$AL,34,0)+K30*VLOOKUP($B30,Parámetros!$C:$AL,35,0))*VLOOKUP($B30,Parámetros!$C:$AL,36,0)+L30)*(VLOOKUP($B30,Parámetros!$C:$AL,16,0))*(VLOOKUP($B30,Parámetros!$C:$AL,17,0)),Indices!$T$7)*D30,Indices!$U$7)</f>
        <v>7757.96</v>
      </c>
      <c r="N30" s="294">
        <f>+VLOOKUP($B30,Parámetros!$C:$AL,15,0)</f>
        <v>7110.69</v>
      </c>
      <c r="O30" s="303">
        <f t="shared" ref="O30" si="23">+M30/N30-1</f>
        <v>9.1027734298640528E-2</v>
      </c>
      <c r="P30" s="295" t="s">
        <v>56</v>
      </c>
      <c r="Q30" s="294">
        <f>(VLOOKUP(B30,Parámetros!$C:$AL,20,0)*E30/Indices!$P$7+VLOOKUP(B30,Parámetros!$C:$AL,21,0)*F30/Indices!$Q$7+VLOOKUP(B30,Parámetros!$C:$AL,22,0)*G30/Indices!$R$7*Indices!$O$7/D30)*Parámetros!U34</f>
        <v>605.66456164006649</v>
      </c>
      <c r="R30" s="294">
        <f>+(VLOOKUP(B30,Parámetros!$C:$AL,24,0)*F30/Indices!$Q$7+VLOOKUP(B30,Parámetros!$C:$AL,25,0)*Indices!$O$7/D30*G30/Indices!$R$7)*Parámetros!Y34</f>
        <v>83.319259201641515</v>
      </c>
      <c r="S30" s="294">
        <f>+(VLOOKUP(B30,Parámetros!$C:$AL,27,0)*F30/Indices!$Q$7+VLOOKUP(B30,Parámetros!$C:$AL,28,0)*Indices!$O$7/D30*G30/Indices!$R$7)*Parámetros!AB34</f>
        <v>8.8686045416001935</v>
      </c>
      <c r="T30" s="294">
        <f>Parámetros!AE34*Indices!$O$7/D30*G30/Indices!$R$7</f>
        <v>1.0766806950236307</v>
      </c>
      <c r="U30" s="294">
        <f>+ROUND(ROUND(((Q30*VLOOKUP($B30,Parámetros!$C:$AL,33,0)+R30*VLOOKUP($B30,Parámetros!$C:$AL,34,0)+S30*VLOOKUP($B30,Parámetros!$C:$AL,35,0))*VLOOKUP($B30,Parámetros!$C:$AL,36,0)+T30)*(VLOOKUP($B30,Parámetros!$C:$AL,31,0))*(VLOOKUP($B30,Parámetros!$C:$AL,32,0)),Indices!$T$7)*D30,Indices!$U$7)</f>
        <v>7272.51</v>
      </c>
      <c r="V30" s="227">
        <f>+VLOOKUP($B30,Parámetros!$C:$AL,30,0)</f>
        <v>6646.68</v>
      </c>
      <c r="W30" s="230">
        <f t="shared" ref="W30" si="24">+U30/V30-1</f>
        <v>9.4156782032533526E-2</v>
      </c>
    </row>
    <row r="31" spans="2:31" x14ac:dyDescent="0.2">
      <c r="B31" s="38">
        <v>45261</v>
      </c>
      <c r="C31" s="38" t="s">
        <v>135</v>
      </c>
      <c r="D31" s="233">
        <f>+VLOOKUP(DATE(YEAR(B31),MONTH(B31)-2,1),Indices!$B:$F,2,0)</f>
        <v>926.35</v>
      </c>
      <c r="E31" s="228">
        <f>+VLOOKUP(DATE(YEAR(B31),MONTH(B31)-7,1),Indices!$B:$F,4,0)</f>
        <v>256.81700000000001</v>
      </c>
      <c r="F31" s="228">
        <f>+VLOOKUP(DATE(YEAR(B31),MONTH(B31)-7,1),Indices!$B:$F,5,0)</f>
        <v>253.67</v>
      </c>
      <c r="G31" s="233">
        <f>+VLOOKUP(DATE(YEAR(B31),MONTH(B31)-2,1),Indices!$B:$F,3,0)</f>
        <v>133.82</v>
      </c>
      <c r="H31" s="234" t="s">
        <v>48</v>
      </c>
      <c r="I31" s="233">
        <f>(VLOOKUP(B31,Parámetros!$C:$Q,5,0)*E31/Indices!$P$7+VLOOKUP(B31,Parámetros!$C:$Q,6,0)*F31/Indices!$Q$7+VLOOKUP(B31,Parámetros!$C:$Q,7,0)*G31/Indices!$R$7*Indices!$O$7/D31)*Parámetros!F35</f>
        <v>625.98494269339164</v>
      </c>
      <c r="J31" s="233">
        <f>+(VLOOKUP($B31,Parámetros!$C:$L,9,0)*F31/Indices!$Q$7+VLOOKUP($B31,Parámetros!$C:$L,10,0)*Indices!$O$7/D31*G31/Indices!$R$7)*Parámetros!J35</f>
        <v>86.240221802411313</v>
      </c>
      <c r="K31" s="233">
        <f>+(VLOOKUP(B31,Parámetros!$C:$O,12,0)*F31/Indices!$Q$7+VLOOKUP(B31,Parámetros!$C:$O,13,0)*Indices!$O$7/D31*G31/Indices!$R$7)*Parámetros!M35</f>
        <v>13.244760215587499</v>
      </c>
      <c r="L31" s="233">
        <f>+Parámetros!P35*Indices!$O$7/D31*G31/Indices!$R$7</f>
        <v>1.199227768013259</v>
      </c>
      <c r="M31" s="290">
        <f>+ROUND(ROUND(((I31*VLOOKUP($B31,Parámetros!$C:$AL,33,0)+J31*VLOOKUP($B31,Parámetros!$C:$AL,34,0)+K31*VLOOKUP($B31,Parámetros!$C:$AL,35,0))*VLOOKUP($B31,Parámetros!$C:$AL,36,0)+L31)*(VLOOKUP($B31,Parámetros!$C:$AL,16,0))*(VLOOKUP($B31,Parámetros!$C:$AL,17,0)),Indices!$T$7)*D31,Indices!$U$7)</f>
        <v>8001.07</v>
      </c>
      <c r="N31" s="290">
        <f>+VLOOKUP($B31,Parámetros!$C:$AL,15,0)</f>
        <v>7110.69</v>
      </c>
      <c r="O31" s="291">
        <f t="shared" ref="O31" si="25">+M31/N31-1</f>
        <v>0.12521710270030062</v>
      </c>
      <c r="P31" s="292" t="s">
        <v>56</v>
      </c>
      <c r="Q31" s="290">
        <f>(VLOOKUP(B31,Parámetros!$C:$AL,20,0)*E31/Indices!$P$7+VLOOKUP(B31,Parámetros!$C:$AL,21,0)*F31/Indices!$Q$7+VLOOKUP(B31,Parámetros!$C:$AL,22,0)*G31/Indices!$R$7*Indices!$O$7/D31)*Parámetros!U35</f>
        <v>600.79543044393654</v>
      </c>
      <c r="R31" s="290">
        <f>+(VLOOKUP(B31,Parámetros!$C:$AL,24,0)*F31/Indices!$Q$7+VLOOKUP(B31,Parámetros!$C:$AL,25,0)*Indices!$O$7/D31*G31/Indices!$R$7)*Parámetros!Y35</f>
        <v>81.488691370139989</v>
      </c>
      <c r="S31" s="290">
        <f>+(VLOOKUP(B31,Parámetros!$C:$AL,27,0)*F31/Indices!$Q$7+VLOOKUP(B31,Parámetros!$C:$AL,28,0)*Indices!$O$7/D31*G31/Indices!$R$7)*Parámetros!AB35</f>
        <v>8.5386928116814271</v>
      </c>
      <c r="T31" s="290">
        <f>Parámetros!AE35*Indices!$O$7/D31*G31/Indices!$R$7</f>
        <v>1.0323975274766357</v>
      </c>
      <c r="U31" s="290">
        <f>+ROUND(ROUND(((Q31*VLOOKUP($B31,Parámetros!$C:$AL,33,0)+R31*VLOOKUP($B31,Parámetros!$C:$AL,34,0)+S31*VLOOKUP($B31,Parámetros!$C:$AL,35,0))*VLOOKUP($B31,Parámetros!$C:$AL,36,0)+T31)*(VLOOKUP($B31,Parámetros!$C:$AL,31,0))*(VLOOKUP($B31,Parámetros!$C:$AL,32,0)),Indices!$T$7)*D31,Indices!$U$7)</f>
        <v>7507.33</v>
      </c>
      <c r="V31" s="233">
        <f>+VLOOKUP($B31,Parámetros!$C:$AL,30,0)</f>
        <v>6646.68</v>
      </c>
      <c r="W31" s="235">
        <f t="shared" ref="W31" si="26">+U31/V31-1</f>
        <v>0.12948569812297261</v>
      </c>
    </row>
    <row r="32" spans="2:31" x14ac:dyDescent="0.2">
      <c r="B32" s="194">
        <v>45292</v>
      </c>
      <c r="C32" s="194" t="s">
        <v>135</v>
      </c>
      <c r="D32" s="227">
        <f>+VLOOKUP(DATE(YEAR(B32),MONTH(B32)-2,1),Indices!$B:$F,2,0)</f>
        <v>886.61</v>
      </c>
      <c r="E32" s="258">
        <f>+VLOOKUP(DATE(YEAR(B32),MONTH(B32)-7,1),Indices!$B:$F,4,0)</f>
        <v>256.35500000000002</v>
      </c>
      <c r="F32" s="258">
        <f>+VLOOKUP(DATE(YEAR(B32),MONTH(B32)-7,1),Indices!$B:$F,5,0)</f>
        <v>253.86</v>
      </c>
      <c r="G32" s="227">
        <f>+VLOOKUP(DATE(YEAR(B32),MONTH(B32)-2,1),Indices!$B:$F,3,0)</f>
        <v>134.82</v>
      </c>
      <c r="H32" s="232" t="s">
        <v>48</v>
      </c>
      <c r="I32" s="227">
        <f>(VLOOKUP(B32,Parámetros!$C:$Q,5,0)*E32/Indices!$P$7+VLOOKUP(B32,Parámetros!$C:$Q,6,0)*F32/Indices!$Q$7+VLOOKUP(B32,Parámetros!$C:$Q,7,0)*G32/Indices!$R$7*Indices!$O$7/D32)*Parámetros!F36</f>
        <v>631.84295137946424</v>
      </c>
      <c r="J32" s="227">
        <f>+(VLOOKUP($B32,Parámetros!$C:$L,9,0)*F32/Indices!$Q$7+VLOOKUP($B32,Parámetros!$C:$L,10,0)*Indices!$O$7/D32*G32/Indices!$R$7)*Parámetros!J36</f>
        <v>88.147468515301924</v>
      </c>
      <c r="K32" s="227">
        <f>+(VLOOKUP(B32,Parámetros!$C:$O,12,0)*F32/Indices!$Q$7+VLOOKUP(B32,Parámetros!$C:$O,13,0)*Indices!$O$7/D32*G32/Indices!$R$7)*Parámetros!M36</f>
        <v>13.822062508763429</v>
      </c>
      <c r="L32" s="227">
        <f>+Parámetros!P36*Indices!$O$7/D32*G32/Indices!$R$7</f>
        <v>1.262343225660383</v>
      </c>
      <c r="M32" s="294">
        <f>+ROUND(ROUND(((I32*VLOOKUP($B32,Parámetros!$C:$AL,33,0)+J32*VLOOKUP($B32,Parámetros!$C:$AL,34,0)+K32*VLOOKUP($B32,Parámetros!$C:$AL,35,0))*VLOOKUP($B32,Parámetros!$C:$AL,36,0)+L32)*(VLOOKUP($B32,Parámetros!$C:$AL,16,0))*(VLOOKUP($B32,Parámetros!$C:$AL,17,0)),Indices!$T$7)*D32,Indices!$U$7)</f>
        <v>7793.3</v>
      </c>
      <c r="N32" s="294">
        <f>+VLOOKUP($B32,Parámetros!$C:$AL,15,0)</f>
        <v>7110.69</v>
      </c>
      <c r="O32" s="303">
        <f t="shared" ref="O32" si="27">+M32/N32-1</f>
        <v>9.5997716114751164E-2</v>
      </c>
      <c r="P32" s="295" t="s">
        <v>56</v>
      </c>
      <c r="Q32" s="294">
        <f>(VLOOKUP(B32,Parámetros!$C:$AL,20,0)*E32/Indices!$P$7+VLOOKUP(B32,Parámetros!$C:$AL,21,0)*F32/Indices!$Q$7+VLOOKUP(B32,Parámetros!$C:$AL,22,0)*G32/Indices!$R$7*Indices!$O$7/D32)*Parámetros!U36</f>
        <v>606.29059249171212</v>
      </c>
      <c r="R32" s="294">
        <f>+(VLOOKUP(B32,Parámetros!$C:$AL,24,0)*F32/Indices!$Q$7+VLOOKUP(B32,Parámetros!$C:$AL,25,0)*Indices!$O$7/D32*G32/Indices!$R$7)*Parámetros!Y36</f>
        <v>82.910765100877896</v>
      </c>
      <c r="S32" s="294">
        <f>+(VLOOKUP(B32,Parámetros!$C:$AL,27,0)*F32/Indices!$Q$7+VLOOKUP(B32,Parámetros!$C:$AL,28,0)*Indices!$O$7/D32*G32/Indices!$R$7)*Parámetros!AB36</f>
        <v>8.925503557068053</v>
      </c>
      <c r="T32" s="294">
        <f>Parámetros!AE36*Indices!$O$7/D32*G32/Indices!$R$7</f>
        <v>1.0867326956227146</v>
      </c>
      <c r="U32" s="294">
        <f>+ROUND(ROUND(((Q32*VLOOKUP($B32,Parámetros!$C:$AL,33,0)+R32*VLOOKUP($B32,Parámetros!$C:$AL,34,0)+S32*VLOOKUP($B32,Parámetros!$C:$AL,35,0))*VLOOKUP($B32,Parámetros!$C:$AL,36,0)+T32)*(VLOOKUP($B32,Parámetros!$C:$AL,31,0))*(VLOOKUP($B32,Parámetros!$C:$AL,32,0)),Indices!$T$7)*D32,Indices!$U$7)</f>
        <v>7303.18</v>
      </c>
      <c r="V32" s="227">
        <f>+VLOOKUP($B32,Parámetros!$C:$AL,30,0)</f>
        <v>6646.68</v>
      </c>
      <c r="W32" s="230">
        <f t="shared" ref="W32" si="28">+U32/V32-1</f>
        <v>9.8771115805183829E-2</v>
      </c>
    </row>
    <row r="33" spans="2:23" x14ac:dyDescent="0.2">
      <c r="B33" s="38">
        <v>45323</v>
      </c>
      <c r="C33" s="38" t="s">
        <v>135</v>
      </c>
      <c r="D33" s="233">
        <f>+VLOOKUP(DATE(YEAR(B33),MONTH(B33)-2,1),Indices!$B:$F,2,0)</f>
        <v>874.67</v>
      </c>
      <c r="E33" s="228">
        <f>+VLOOKUP(DATE(YEAR(B33),MONTH(B33)-7,1),Indices!$B:$F,4,0)</f>
        <v>253.63200000000001</v>
      </c>
      <c r="F33" s="228">
        <f>+VLOOKUP(DATE(YEAR(B33),MONTH(B33)-7,1),Indices!$B:$F,5,0)</f>
        <v>253.83500000000001</v>
      </c>
      <c r="G33" s="233">
        <f>+VLOOKUP(DATE(YEAR(B33),MONTH(B33)-2,1),Indices!$B:$F,3,0)</f>
        <v>134.1</v>
      </c>
      <c r="H33" s="234" t="s">
        <v>48</v>
      </c>
      <c r="I33" s="233">
        <f>(VLOOKUP(B33,Parámetros!$C:$Q,5,0)*E33/Indices!$P$7+VLOOKUP(B33,Parámetros!$C:$Q,6,0)*F33/Indices!$Q$7+VLOOKUP(B33,Parámetros!$C:$Q,7,0)*G33/Indices!$R$7*Indices!$O$7/D33)*Parámetros!F37</f>
        <v>628.07286069953113</v>
      </c>
      <c r="J33" s="233">
        <f>+(VLOOKUP($B33,Parámetros!$C:$L,9,0)*F33/Indices!$Q$7+VLOOKUP($B33,Parámetros!$C:$L,10,0)*Indices!$O$7/D33*G33/Indices!$R$7)*Parámetros!J37</f>
        <v>88.450437839111956</v>
      </c>
      <c r="K33" s="233">
        <f>+(VLOOKUP(B33,Parámetros!$C:$O,12,0)*F33/Indices!$Q$7+VLOOKUP(B33,Parámetros!$C:$O,13,0)*Indices!$O$7/D33*G33/Indices!$R$7)*Parámetros!M37</f>
        <v>13.916663311456107</v>
      </c>
      <c r="L33" s="233">
        <f>+Parámetros!P37*Indices!$O$7/D33*G33/Indices!$R$7</f>
        <v>1.2727417866533781</v>
      </c>
      <c r="M33" s="290">
        <f>+ROUND(ROUND(((I33*VLOOKUP($B33,Parámetros!$C:$AL,33,0)+J33*VLOOKUP($B33,Parámetros!$C:$AL,34,0)+K33*VLOOKUP($B33,Parámetros!$C:$AL,35,0))*VLOOKUP($B33,Parámetros!$C:$AL,36,0)+L33)*(VLOOKUP($B33,Parámetros!$C:$AL,16,0))*(VLOOKUP($B33,Parámetros!$C:$AL,17,0)),Indices!$T$7)*D33,Indices!$U$7)</f>
        <v>7668.14</v>
      </c>
      <c r="N33" s="290">
        <f>+VLOOKUP($B33,Parámetros!$C:$AL,15,0)</f>
        <v>7110.69</v>
      </c>
      <c r="O33" s="291">
        <f t="shared" ref="O33" si="29">+M33/N33-1</f>
        <v>7.8396048766012916E-2</v>
      </c>
      <c r="P33" s="292" t="s">
        <v>56</v>
      </c>
      <c r="Q33" s="290">
        <f>(VLOOKUP(B33,Parámetros!$C:$AL,20,0)*E33/Indices!$P$7+VLOOKUP(B33,Parámetros!$C:$AL,21,0)*F33/Indices!$Q$7+VLOOKUP(B33,Parámetros!$C:$AL,22,0)*G33/Indices!$R$7*Indices!$O$7/D33)*Parámetros!U37</f>
        <v>602.62899801143078</v>
      </c>
      <c r="R33" s="290">
        <f>+(VLOOKUP(B33,Parámetros!$C:$AL,24,0)*F33/Indices!$Q$7+VLOOKUP(B33,Parámetros!$C:$AL,25,0)*Indices!$O$7/D33*G33/Indices!$R$7)*Parámetros!Y37</f>
        <v>83.132794159914496</v>
      </c>
      <c r="S33" s="290">
        <f>+(VLOOKUP(B33,Parámetros!$C:$AL,27,0)*F33/Indices!$Q$7+VLOOKUP(B33,Parámetros!$C:$AL,28,0)*Indices!$O$7/D33*G33/Indices!$R$7)*Parámetros!AB37</f>
        <v>8.9889646679947734</v>
      </c>
      <c r="T33" s="290">
        <f>Parámetros!AE37*Indices!$O$7/D33*G33/Indices!$R$7</f>
        <v>1.0956846636681743</v>
      </c>
      <c r="U33" s="290">
        <f>+ROUND(ROUND(((Q33*VLOOKUP($B33,Parámetros!$C:$AL,33,0)+R33*VLOOKUP($B33,Parámetros!$C:$AL,34,0)+S33*VLOOKUP($B33,Parámetros!$C:$AL,35,0))*VLOOKUP($B33,Parámetros!$C:$AL,36,0)+T33)*(VLOOKUP($B33,Parámetros!$C:$AL,31,0))*(VLOOKUP($B33,Parámetros!$C:$AL,32,0)),Indices!$T$7)*D33,Indices!$U$7)</f>
        <v>7183.23</v>
      </c>
      <c r="V33" s="233">
        <f>+VLOOKUP($B33,Parámetros!$C:$AL,30,0)</f>
        <v>6646.68</v>
      </c>
      <c r="W33" s="235">
        <f t="shared" ref="W33" si="30">+U33/V33-1</f>
        <v>8.0724512087237521E-2</v>
      </c>
    </row>
    <row r="34" spans="2:23" x14ac:dyDescent="0.2">
      <c r="B34" s="194">
        <v>45352</v>
      </c>
      <c r="C34" s="194" t="s">
        <v>137</v>
      </c>
      <c r="D34" s="227">
        <f>+VLOOKUP(DATE(YEAR(B34),MONTH(B34)-2,1),Indices!$B:$F,2,0)</f>
        <v>907.99</v>
      </c>
      <c r="E34" s="258">
        <f>+VLOOKUP(DATE(YEAR(B34),MONTH(B34)-7,1),Indices!$B:$F,4,0)</f>
        <v>258.39600000000002</v>
      </c>
      <c r="F34" s="258">
        <f>+VLOOKUP(DATE(YEAR(B34),MONTH(B34)-7,1),Indices!$B:$F,5,0)</f>
        <v>257.68</v>
      </c>
      <c r="G34" s="227">
        <f>+VLOOKUP(DATE(YEAR(B34),MONTH(B34)-2,1),Indices!$B:$F,3,0)</f>
        <v>135</v>
      </c>
      <c r="H34" s="232" t="s">
        <v>48</v>
      </c>
      <c r="I34" s="227">
        <f>(VLOOKUP(B34,Parámetros!$C:$Q,5,0)*E34/Indices!$P$7+VLOOKUP(B34,Parámetros!$C:$Q,6,0)*F34/Indices!$Q$7+VLOOKUP(B34,Parámetros!$C:$Q,7,0)*G34/Indices!$R$7*Indices!$O$7/D34)*Parámetros!F38</f>
        <v>633.14579172816082</v>
      </c>
      <c r="J34" s="227">
        <f>+(VLOOKUP($B34,Parámetros!$C:$L,9,0)*F34/Indices!$Q$7+VLOOKUP($B34,Parámetros!$C:$L,10,0)*Indices!$O$7/D34*G34/Indices!$R$7)*Parámetros!J38</f>
        <v>88.079735452493267</v>
      </c>
      <c r="K34" s="227">
        <f>+(VLOOKUP(B34,Parámetros!$C:$O,12,0)*F34/Indices!$Q$7+VLOOKUP(B34,Parámetros!$C:$O,13,0)*Indices!$O$7/D34*G34/Indices!$R$7)*Parámetros!M38</f>
        <v>13.60077241711598</v>
      </c>
      <c r="L34" s="227">
        <f>+Parámetros!P38*Indices!$O$7/D34*G34/Indices!$R$7</f>
        <v>1.2342651290161928</v>
      </c>
      <c r="M34" s="294">
        <f>+ROUND(ROUND(((I34*VLOOKUP($B34,Parámetros!$C:$AL,33,0)+J34*VLOOKUP($B34,Parámetros!$C:$AL,34,0)+K34*VLOOKUP($B34,Parámetros!$C:$AL,35,0))*VLOOKUP($B34,Parámetros!$C:$AL,36,0)+L34)*(VLOOKUP($B34,Parámetros!$C:$AL,16,0))*(VLOOKUP($B34,Parámetros!$C:$AL,17,0)),Indices!$T$7)*D34,Indices!$U$7)</f>
        <v>7962.71</v>
      </c>
      <c r="N34" s="294">
        <f>+VLOOKUP($B34,Parámetros!$C:$AL,15,0)</f>
        <v>7962.71</v>
      </c>
      <c r="O34" s="303">
        <f t="shared" ref="O34" si="31">+M34/N34-1</f>
        <v>0</v>
      </c>
      <c r="P34" s="295" t="s">
        <v>56</v>
      </c>
      <c r="Q34" s="294">
        <f>(VLOOKUP(B34,Parámetros!$C:$AL,20,0)*E34/Indices!$P$7+VLOOKUP(B34,Parámetros!$C:$AL,21,0)*F34/Indices!$Q$7+VLOOKUP(B34,Parámetros!$C:$AL,22,0)*G34/Indices!$R$7*Indices!$O$7/D34)*Parámetros!U38</f>
        <v>607.61586292798563</v>
      </c>
      <c r="R34" s="294">
        <f>+(VLOOKUP(B34,Parámetros!$C:$AL,24,0)*F34/Indices!$Q$7+VLOOKUP(B34,Parámetros!$C:$AL,25,0)*Indices!$O$7/D34*G34/Indices!$R$7)*Parámetros!Y38</f>
        <v>83.128619976803733</v>
      </c>
      <c r="S34" s="294">
        <f>+(VLOOKUP(B34,Parámetros!$C:$AL,27,0)*F34/Indices!$Q$7+VLOOKUP(B34,Parámetros!$C:$AL,28,0)*Indices!$O$7/D34*G34/Indices!$R$7)*Parámetros!AB38</f>
        <v>8.7719902522981616</v>
      </c>
      <c r="T34" s="294">
        <f>Parámetros!AE38*Indices!$O$7/D34*G34/Indices!$R$7</f>
        <v>1.0625606756571198</v>
      </c>
      <c r="U34" s="294">
        <f>+ROUND(ROUND(((Q34*VLOOKUP($B34,Parámetros!$C:$AL,33,0)+R34*VLOOKUP($B34,Parámetros!$C:$AL,34,0)+S34*VLOOKUP($B34,Parámetros!$C:$AL,35,0))*VLOOKUP($B34,Parámetros!$C:$AL,36,0)+T34)*(VLOOKUP($B34,Parámetros!$C:$AL,31,0))*(VLOOKUP($B34,Parámetros!$C:$AL,32,0)),Indices!$T$7)*D34,Indices!$U$7)</f>
        <v>7467.85</v>
      </c>
      <c r="V34" s="227">
        <f>+VLOOKUP($B34,Parámetros!$C:$AL,30,0)</f>
        <v>7467.85</v>
      </c>
      <c r="W34" s="230">
        <f t="shared" ref="W34" si="32">+U34/V34-1</f>
        <v>0</v>
      </c>
    </row>
    <row r="35" spans="2:23" x14ac:dyDescent="0.2">
      <c r="B35" s="38">
        <v>45383</v>
      </c>
      <c r="C35" s="38" t="s">
        <v>138</v>
      </c>
      <c r="D35" s="233">
        <f>+VLOOKUP(DATE(YEAR(B35),MONTH(B35)-2,1),Indices!$B:$F,2,0)</f>
        <v>963.44</v>
      </c>
      <c r="E35" s="228">
        <f>+VLOOKUP(DATE(YEAR(B35),MONTH(B35)-7,1),Indices!$B:$F,4,0)</f>
        <v>259.31599999999997</v>
      </c>
      <c r="F35" s="228">
        <f>+VLOOKUP(DATE(YEAR(B35),MONTH(B35)-7,1),Indices!$B:$F,5,0)</f>
        <v>258.93400000000003</v>
      </c>
      <c r="G35" s="233">
        <f>+VLOOKUP(DATE(YEAR(B35),MONTH(B35)-2,1),Indices!$B:$F,3,0)</f>
        <v>135.80000000000001</v>
      </c>
      <c r="H35" s="234" t="s">
        <v>48</v>
      </c>
      <c r="I35" s="233">
        <f>(VLOOKUP(B35,Parámetros!$C:$Q,5,0)*E35/Indices!$P$7+VLOOKUP(B35,Parámetros!$C:$Q,6,0)*F35/Indices!$Q$7+VLOOKUP(B35,Parámetros!$C:$Q,7,0)*G35/Indices!$R$7*Indices!$O$7/D35)*Parámetros!F39</f>
        <v>628.23073895370385</v>
      </c>
      <c r="J35" s="233">
        <f>+(VLOOKUP($B35,Parámetros!$C:$L,9,0)*F35/Indices!$Q$7+VLOOKUP($B35,Parámetros!$C:$L,10,0)*Indices!$O$7/D35*G35/Indices!$R$7)*Parámetros!J39</f>
        <v>86.430769001192786</v>
      </c>
      <c r="K35" s="233">
        <f>+(VLOOKUP(B35,Parámetros!$C:$O,12,0)*F35/Indices!$Q$7+VLOOKUP(B35,Parámetros!$C:$O,13,0)*Indices!$O$7/D35*G35/Indices!$R$7)*Parámetros!M39</f>
        <v>13.027232561034635</v>
      </c>
      <c r="L35" s="233">
        <f>+Parámetros!P39*Indices!$O$7/D35*G35/Indices!$R$7</f>
        <v>1.1701212135870929</v>
      </c>
      <c r="M35" s="290">
        <f>+ROUND(ROUND(((I35*VLOOKUP($B35,Parámetros!$C:$AL,33,0)+J35*VLOOKUP($B35,Parámetros!$C:$AL,34,0)+K35*VLOOKUP($B35,Parámetros!$C:$AL,35,0))*VLOOKUP($B35,Parámetros!$C:$AL,36,0)+L35)*(VLOOKUP($B35,Parámetros!$C:$AL,16,0))*(VLOOKUP($B35,Parámetros!$C:$AL,17,0)),Indices!$T$7)*D35,Indices!$U$7)</f>
        <v>8312.27</v>
      </c>
      <c r="N35" s="290">
        <f>+VLOOKUP($B35,Parámetros!$C:$AL,15,0)</f>
        <v>7793.57</v>
      </c>
      <c r="O35" s="291">
        <f t="shared" ref="O35" si="33">+M35/N35-1</f>
        <v>6.6554865100332705E-2</v>
      </c>
      <c r="P35" s="292" t="s">
        <v>56</v>
      </c>
      <c r="Q35" s="290">
        <f>(VLOOKUP(B35,Parámetros!$C:$AL,20,0)*E35/Indices!$P$7+VLOOKUP(B35,Parámetros!$C:$AL,21,0)*F35/Indices!$Q$7+VLOOKUP(B35,Parámetros!$C:$AL,22,0)*G35/Indices!$R$7*Indices!$O$7/D35)*Parámetros!U39</f>
        <v>603.03263803197785</v>
      </c>
      <c r="R35" s="290">
        <f>+(VLOOKUP(B35,Parámetros!$C:$AL,24,0)*F35/Indices!$Q$7+VLOOKUP(B35,Parámetros!$C:$AL,25,0)*Indices!$O$7/D35*G35/Indices!$R$7)*Parámetros!Y39</f>
        <v>81.99858295855141</v>
      </c>
      <c r="S35" s="290">
        <f>+(VLOOKUP(B35,Parámetros!$C:$AL,27,0)*F35/Indices!$Q$7+VLOOKUP(B35,Parámetros!$C:$AL,28,0)*Indices!$O$7/D35*G35/Indices!$R$7)*Parámetros!AB39</f>
        <v>8.3857576806392338</v>
      </c>
      <c r="T35" s="290">
        <f>Parámetros!AE39*Indices!$O$7/D35*G35/Indices!$R$7</f>
        <v>1.0073401233500445</v>
      </c>
      <c r="U35" s="290">
        <f>+ROUND(ROUND(((Q35*VLOOKUP($B35,Parámetros!$C:$AL,33,0)+R35*VLOOKUP($B35,Parámetros!$C:$AL,34,0)+S35*VLOOKUP($B35,Parámetros!$C:$AL,35,0))*VLOOKUP($B35,Parámetros!$C:$AL,36,0)+T35)*(VLOOKUP($B35,Parámetros!$C:$AL,31,0))*(VLOOKUP($B35,Parámetros!$C:$AL,32,0)),Indices!$T$7)*D35,Indices!$U$7)</f>
        <v>7806.47</v>
      </c>
      <c r="V35" s="233">
        <f>+VLOOKUP($B35,Parámetros!$C:$AL,30,0)</f>
        <v>7303.36</v>
      </c>
      <c r="W35" s="235">
        <f t="shared" ref="W35" si="34">+U35/V35-1</f>
        <v>6.8887470972264886E-2</v>
      </c>
    </row>
    <row r="36" spans="2:23" x14ac:dyDescent="0.2">
      <c r="B36" s="194">
        <v>45413</v>
      </c>
      <c r="C36" s="194" t="s">
        <v>138</v>
      </c>
      <c r="D36" s="227">
        <f>+VLOOKUP(DATE(YEAR(B36),MONTH(B36)-2,1),Indices!$B:$F,2,0)</f>
        <v>967.93</v>
      </c>
      <c r="E36" s="258">
        <f>+VLOOKUP(DATE(YEAR(B36),MONTH(B36)-7,1),Indices!$B:$F,4,0)</f>
        <v>260.34100000000001</v>
      </c>
      <c r="F36" s="258">
        <f>+VLOOKUP(DATE(YEAR(B36),MONTH(B36)-7,1),Indices!$B:$F,5,0)</f>
        <v>255.19200000000001</v>
      </c>
      <c r="G36" s="227">
        <f>+VLOOKUP(DATE(YEAR(B36),MONTH(B36)-2,1),Indices!$B:$F,3,0)</f>
        <v>136.30000000000001</v>
      </c>
      <c r="H36" s="232" t="s">
        <v>48</v>
      </c>
      <c r="I36" s="227">
        <f>(VLOOKUP(B36,Parámetros!$C:$Q,5,0)*E36/Indices!$P$7+VLOOKUP(B36,Parámetros!$C:$Q,6,0)*F36/Indices!$Q$7+VLOOKUP(B36,Parámetros!$C:$Q,7,0)*G36/Indices!$R$7*Indices!$O$7/D36)*Parámetros!F40</f>
        <v>629.33551245539843</v>
      </c>
      <c r="J36" s="227">
        <f>+(VLOOKUP($B36,Parámetros!$C:$L,9,0)*F36/Indices!$Q$7+VLOOKUP($B36,Parámetros!$C:$L,10,0)*Indices!$O$7/D36*G36/Indices!$R$7)*Parámetros!J40</f>
        <v>85.648773365196689</v>
      </c>
      <c r="K36" s="227">
        <f>+(VLOOKUP(B36,Parámetros!$C:$O,12,0)*F36/Indices!$Q$7+VLOOKUP(B36,Parámetros!$C:$O,13,0)*Indices!$O$7/D36*G36/Indices!$R$7)*Parámetros!M40</f>
        <v>12.982785072696721</v>
      </c>
      <c r="L36" s="227">
        <f>+Parámetros!P40*Indices!$O$7/D36*G36/Indices!$R$7</f>
        <v>1.168981562943791</v>
      </c>
      <c r="M36" s="294">
        <f>+ROUND(ROUND(((I36*VLOOKUP($B36,Parámetros!$C:$AL,33,0)+J36*VLOOKUP($B36,Parámetros!$C:$AL,34,0)+K36*VLOOKUP($B36,Parámetros!$C:$AL,35,0))*VLOOKUP($B36,Parámetros!$C:$AL,36,0)+L36)*(VLOOKUP($B36,Parámetros!$C:$AL,16,0))*(VLOOKUP($B36,Parámetros!$C:$AL,17,0)),Indices!$T$7)*D36,Indices!$U$7)</f>
        <v>8353.14</v>
      </c>
      <c r="N36" s="294">
        <f>+VLOOKUP($B36,Parámetros!$C:$AL,15,0)</f>
        <v>7793.57</v>
      </c>
      <c r="O36" s="303">
        <f t="shared" ref="O36" si="35">+M36/N36-1</f>
        <v>7.1798931683426215E-2</v>
      </c>
      <c r="P36" s="295" t="s">
        <v>56</v>
      </c>
      <c r="Q36" s="294">
        <f>(VLOOKUP(B36,Parámetros!$C:$AL,20,0)*E36/Indices!$P$7+VLOOKUP(B36,Parámetros!$C:$AL,21,0)*F36/Indices!$Q$7+VLOOKUP(B36,Parámetros!$C:$AL,22,0)*G36/Indices!$R$7*Indices!$O$7/D36)*Parámetros!U40</f>
        <v>604.10101961630915</v>
      </c>
      <c r="R36" s="294">
        <f>+(VLOOKUP(B36,Parámetros!$C:$AL,24,0)*F36/Indices!$Q$7+VLOOKUP(B36,Parámetros!$C:$AL,25,0)*Indices!$O$7/D36*G36/Indices!$R$7)*Parámetros!Y40</f>
        <v>81.158562871899818</v>
      </c>
      <c r="S36" s="294">
        <f>+(VLOOKUP(B36,Parámetros!$C:$AL,27,0)*F36/Indices!$Q$7+VLOOKUP(B36,Parámetros!$C:$AL,28,0)*Indices!$O$7/D36*G36/Indices!$R$7)*Parámetros!AB40</f>
        <v>8.360995623482312</v>
      </c>
      <c r="T36" s="294">
        <f>Parámetros!AE40*Indices!$O$7/D36*G36/Indices!$R$7</f>
        <v>1.0063590148919896</v>
      </c>
      <c r="U36" s="294">
        <f>+ROUND(ROUND(((Q36*VLOOKUP($B36,Parámetros!$C:$AL,33,0)+R36*VLOOKUP($B36,Parámetros!$C:$AL,34,0)+S36*VLOOKUP($B36,Parámetros!$C:$AL,35,0))*VLOOKUP($B36,Parámetros!$C:$AL,36,0)+T36)*(VLOOKUP($B36,Parámetros!$C:$AL,31,0))*(VLOOKUP($B36,Parámetros!$C:$AL,32,0)),Indices!$T$7)*D36,Indices!$U$7)</f>
        <v>7844.4</v>
      </c>
      <c r="V36" s="227">
        <f>+VLOOKUP($B36,Parámetros!$C:$AL,30,0)</f>
        <v>7303.36</v>
      </c>
      <c r="W36" s="230">
        <f t="shared" ref="W36" si="36">+U36/V36-1</f>
        <v>7.408097095035715E-2</v>
      </c>
    </row>
    <row r="37" spans="2:23" x14ac:dyDescent="0.2">
      <c r="B37" s="38">
        <v>45444</v>
      </c>
      <c r="C37" s="38" t="s">
        <v>138</v>
      </c>
      <c r="D37" s="233">
        <f>+VLOOKUP(DATE(YEAR(B37),MONTH(B37)-2,1),Indices!$B:$F,2,0)</f>
        <v>960.14</v>
      </c>
      <c r="E37" s="228">
        <f>+VLOOKUP(DATE(YEAR(B37),MONTH(B37)-7,1),Indices!$B:$F,4,0)</f>
        <v>261.33800000000002</v>
      </c>
      <c r="F37" s="228">
        <f>+VLOOKUP(DATE(YEAR(B37),MONTH(B37)-7,1),Indices!$B:$F,5,0)</f>
        <v>252.85599999999999</v>
      </c>
      <c r="G37" s="233">
        <f>+VLOOKUP(DATE(YEAR(B37),MONTH(B37)-2,1),Indices!$B:$F,3,0)</f>
        <v>137.02000000000001</v>
      </c>
      <c r="H37" s="234" t="s">
        <v>48</v>
      </c>
      <c r="I37" s="233">
        <f>(VLOOKUP(B37,Parámetros!$C:$Q,5,0)*E37/Indices!$P$7+VLOOKUP(B37,Parámetros!$C:$Q,6,0)*F37/Indices!$Q$7+VLOOKUP(B37,Parámetros!$C:$Q,7,0)*G37/Indices!$R$7*Indices!$O$7/D37)*Parámetros!F41</f>
        <v>632.39358577033579</v>
      </c>
      <c r="J37" s="233">
        <f>+(VLOOKUP($B37,Parámetros!$C:$L,9,0)*F37/Indices!$Q$7+VLOOKUP($B37,Parámetros!$C:$L,10,0)*Indices!$O$7/D37*G37/Indices!$R$7)*Parámetros!J41</f>
        <v>85.646934132778782</v>
      </c>
      <c r="K37" s="233">
        <f>+(VLOOKUP(B37,Parámetros!$C:$O,12,0)*F37/Indices!$Q$7+VLOOKUP(B37,Parámetros!$C:$O,13,0)*Indices!$O$7/D37*G37/Indices!$R$7)*Parámetros!M41</f>
        <v>13.104787811968098</v>
      </c>
      <c r="L37" s="233">
        <f>+Parámetros!P41*Indices!$O$7/D37*G37/Indices!$R$7</f>
        <v>1.18469118356784</v>
      </c>
      <c r="M37" s="290">
        <f>+ROUND(ROUND(((I37*VLOOKUP($B37,Parámetros!$C:$AL,33,0)+J37*VLOOKUP($B37,Parámetros!$C:$AL,34,0)+K37*VLOOKUP($B37,Parámetros!$C:$AL,35,0))*VLOOKUP($B37,Parámetros!$C:$AL,36,0)+L37)*(VLOOKUP($B37,Parámetros!$C:$AL,16,0))*(VLOOKUP($B37,Parámetros!$C:$AL,17,0)),Indices!$T$7)*D37,Indices!$U$7)</f>
        <v>8333.5400000000009</v>
      </c>
      <c r="N37" s="290">
        <f>+VLOOKUP($B37,Parámetros!$C:$AL,15,0)</f>
        <v>7793.57</v>
      </c>
      <c r="O37" s="291">
        <f t="shared" ref="O37" si="37">+M37/N37-1</f>
        <v>6.9284037995424486E-2</v>
      </c>
      <c r="P37" s="292" t="s">
        <v>56</v>
      </c>
      <c r="Q37" s="290">
        <f>(VLOOKUP(B37,Parámetros!$C:$AL,20,0)*E37/Indices!$P$7+VLOOKUP(B37,Parámetros!$C:$AL,21,0)*F37/Indices!$Q$7+VLOOKUP(B37,Parámetros!$C:$AL,22,0)*G37/Indices!$R$7*Indices!$O$7/D37)*Parámetros!U41</f>
        <v>607.01196840619491</v>
      </c>
      <c r="R37" s="290">
        <f>+(VLOOKUP(B37,Parámetros!$C:$AL,24,0)*F37/Indices!$Q$7+VLOOKUP(B37,Parámetros!$C:$AL,25,0)*Indices!$O$7/D37*G37/Indices!$R$7)*Parámetros!Y41</f>
        <v>80.993388049823693</v>
      </c>
      <c r="S37" s="290">
        <f>+(VLOOKUP(B37,Parámetros!$C:$AL,27,0)*F37/Indices!$Q$7+VLOOKUP(B37,Parámetros!$C:$AL,28,0)*Indices!$O$7/D37*G37/Indices!$R$7)*Parámetros!AB41</f>
        <v>8.445940960477115</v>
      </c>
      <c r="T37" s="290">
        <f>Parámetros!AE41*Indices!$O$7/D37*G37/Indices!$R$7</f>
        <v>1.0198831959712296</v>
      </c>
      <c r="U37" s="290">
        <f>+ROUND(ROUND(((Q37*VLOOKUP($B37,Parámetros!$C:$AL,33,0)+R37*VLOOKUP($B37,Parámetros!$C:$AL,34,0)+S37*VLOOKUP($B37,Parámetros!$C:$AL,35,0))*VLOOKUP($B37,Parámetros!$C:$AL,36,0)+T37)*(VLOOKUP($B37,Parámetros!$C:$AL,31,0))*(VLOOKUP($B37,Parámetros!$C:$AL,32,0)),Indices!$T$7)*D37,Indices!$U$7)</f>
        <v>7823.32</v>
      </c>
      <c r="V37" s="233">
        <f>+VLOOKUP($B37,Parámetros!$C:$AL,30,0)</f>
        <v>7303.36</v>
      </c>
      <c r="W37" s="235">
        <f t="shared" ref="W37" si="38">+U37/V37-1</f>
        <v>7.1194628225912382E-2</v>
      </c>
    </row>
    <row r="38" spans="2:23" x14ac:dyDescent="0.2">
      <c r="B38" s="194">
        <v>45474</v>
      </c>
      <c r="C38" s="194" t="s">
        <v>138</v>
      </c>
      <c r="D38" s="227">
        <f>+VLOOKUP(DATE(YEAR(B38),MONTH(B38)-2,1),Indices!$B:$F,2,0)</f>
        <v>917.88</v>
      </c>
      <c r="E38" s="258">
        <f>+VLOOKUP(DATE(YEAR(B38),MONTH(B38)-7,1),Indices!$B:$F,4,0)</f>
        <v>261.56700000000001</v>
      </c>
      <c r="F38" s="258">
        <f>+VLOOKUP(DATE(YEAR(B38),MONTH(B38)-7,1),Indices!$B:$F,5,0)</f>
        <v>249.86600000000001</v>
      </c>
      <c r="G38" s="227">
        <f>+VLOOKUP(DATE(YEAR(B38),MONTH(B38)-2,1),Indices!$B:$F,3,0)</f>
        <v>137.38999999999999</v>
      </c>
      <c r="H38" s="232" t="s">
        <v>48</v>
      </c>
      <c r="I38" s="227">
        <f>(VLOOKUP(B38,Parámetros!$C:$Q,5,0)*E38/Indices!$P$7+VLOOKUP(B38,Parámetros!$C:$Q,6,0)*F38/Indices!$Q$7+VLOOKUP(B38,Parámetros!$C:$Q,7,0)*G38/Indices!$R$7*Indices!$O$7/D38)*Parámetros!F42</f>
        <v>638.420331680662</v>
      </c>
      <c r="J38" s="227">
        <f>+(VLOOKUP($B38,Parámetros!$C:$L,9,0)*F38/Indices!$Q$7+VLOOKUP($B38,Parámetros!$C:$L,10,0)*Indices!$O$7/D38*G38/Indices!$R$7)*Parámetros!J42</f>
        <v>86.76357159589584</v>
      </c>
      <c r="K38" s="227">
        <f>+(VLOOKUP(B38,Parámetros!$C:$O,12,0)*F38/Indices!$Q$7+VLOOKUP(B38,Parámetros!$C:$O,13,0)*Indices!$O$7/D38*G38/Indices!$R$7)*Parámetros!M42</f>
        <v>13.605502413406105</v>
      </c>
      <c r="L38" s="227">
        <f>+Parámetros!P42*Indices!$O$7/D38*G38/Indices!$R$7</f>
        <v>1.2425817560249526</v>
      </c>
      <c r="M38" s="294">
        <f>+ROUND(ROUND(((I38*VLOOKUP($B38,Parámetros!$C:$AL,33,0)+J38*VLOOKUP($B38,Parámetros!$C:$AL,34,0)+K38*VLOOKUP($B38,Parámetros!$C:$AL,35,0))*VLOOKUP($B38,Parámetros!$C:$AL,36,0)+L38)*(VLOOKUP($B38,Parámetros!$C:$AL,16,0))*(VLOOKUP($B38,Parámetros!$C:$AL,17,0)),Indices!$T$7)*D38,Indices!$U$7)</f>
        <v>8095.79</v>
      </c>
      <c r="N38" s="294">
        <f>+VLOOKUP($B38,Parámetros!$C:$AL,15,0)</f>
        <v>7793.57</v>
      </c>
      <c r="O38" s="303">
        <f t="shared" ref="O38" si="39">+M38/N38-1</f>
        <v>3.8778120938158134E-2</v>
      </c>
      <c r="P38" s="295" t="s">
        <v>56</v>
      </c>
      <c r="Q38" s="294">
        <f>(VLOOKUP(B38,Parámetros!$C:$AL,20,0)*E38/Indices!$P$7+VLOOKUP(B38,Parámetros!$C:$AL,21,0)*F38/Indices!$Q$7+VLOOKUP(B38,Parámetros!$C:$AL,22,0)*G38/Indices!$R$7*Indices!$O$7/D38)*Parámetros!U42</f>
        <v>612.68273933826663</v>
      </c>
      <c r="R38" s="294">
        <f>+(VLOOKUP(B38,Parámetros!$C:$AL,24,0)*F38/Indices!$Q$7+VLOOKUP(B38,Parámetros!$C:$AL,25,0)*Indices!$O$7/D38*G38/Indices!$R$7)*Parámetros!Y42</f>
        <v>81.608490707279543</v>
      </c>
      <c r="S38" s="294">
        <f>+(VLOOKUP(B38,Parámetros!$C:$AL,27,0)*F38/Indices!$Q$7+VLOOKUP(B38,Parámetros!$C:$AL,28,0)*Indices!$O$7/D38*G38/Indices!$R$7)*Parámetros!AB42</f>
        <v>8.7856836832074237</v>
      </c>
      <c r="T38" s="294">
        <f>Parámetros!AE42*Indices!$O$7/D38*G38/Indices!$R$7</f>
        <v>1.0697203373909481</v>
      </c>
      <c r="U38" s="294">
        <f>+ROUND(ROUND(((Q38*VLOOKUP($B38,Parámetros!$C:$AL,33,0)+R38*VLOOKUP($B38,Parámetros!$C:$AL,34,0)+S38*VLOOKUP($B38,Parámetros!$C:$AL,35,0))*VLOOKUP($B38,Parámetros!$C:$AL,36,0)+T38)*(VLOOKUP($B38,Parámetros!$C:$AL,31,0))*(VLOOKUP($B38,Parámetros!$C:$AL,32,0)),Indices!$T$7)*D38,Indices!$U$7)</f>
        <v>7590.78</v>
      </c>
      <c r="V38" s="227">
        <f>+VLOOKUP($B38,Parámetros!$C:$AL,30,0)</f>
        <v>7303.36</v>
      </c>
      <c r="W38" s="230">
        <f t="shared" ref="W38" si="40">+U38/V38-1</f>
        <v>3.9354488892783701E-2</v>
      </c>
    </row>
    <row r="39" spans="2:23" x14ac:dyDescent="0.2">
      <c r="B39" s="38">
        <v>45505</v>
      </c>
      <c r="C39" s="38" t="s">
        <v>138</v>
      </c>
      <c r="D39" s="233">
        <f>+VLOOKUP(DATE(YEAR(B39),MONTH(B39)-2,1),Indices!$B:$F,2,0)</f>
        <v>926.08</v>
      </c>
      <c r="E39" s="228">
        <f>+VLOOKUP(DATE(YEAR(B39),MONTH(B39)-7,1),Indices!$B:$F,4,0)</f>
        <v>262.47199999999998</v>
      </c>
      <c r="F39" s="228">
        <f>+VLOOKUP(DATE(YEAR(B39),MONTH(B39)-7,1),Indices!$B:$F,5,0)</f>
        <v>251.30600000000001</v>
      </c>
      <c r="G39" s="233">
        <f>+VLOOKUP(DATE(YEAR(B39),MONTH(B39)-2,1),Indices!$B:$F,3,0)</f>
        <v>137.26</v>
      </c>
      <c r="H39" s="234" t="s">
        <v>48</v>
      </c>
      <c r="I39" s="233">
        <f>(VLOOKUP(B39,Parámetros!$C:$Q,5,0)*E39/Indices!$P$7+VLOOKUP(B39,Parámetros!$C:$Q,6,0)*F39/Indices!$Q$7+VLOOKUP(B39,Parámetros!$C:$Q,7,0)*G39/Indices!$R$7*Indices!$O$7/D39)*Parámetros!F43</f>
        <v>638.98672041525003</v>
      </c>
      <c r="J39" s="233">
        <f>+(VLOOKUP($B39,Parámetros!$C:$L,9,0)*F39/Indices!$Q$7+VLOOKUP($B39,Parámetros!$C:$L,10,0)*Indices!$O$7/D39*G39/Indices!$R$7)*Parámetros!J43</f>
        <v>86.691144222952772</v>
      </c>
      <c r="K39" s="233">
        <f>+(VLOOKUP(B39,Parámetros!$C:$O,12,0)*F39/Indices!$Q$7+VLOOKUP(B39,Parámetros!$C:$O,13,0)*Indices!$O$7/D39*G39/Indices!$R$7)*Parámetros!M43</f>
        <v>13.507644601255768</v>
      </c>
      <c r="L39" s="233">
        <f>+Parámetros!P43*Indices!$O$7/D39*G39/Indices!$R$7</f>
        <v>1.2304139483065246</v>
      </c>
      <c r="M39" s="290">
        <f>+ROUND(ROUND(((I39*VLOOKUP($B39,Parámetros!$C:$AL,33,0)+J39*VLOOKUP($B39,Parámetros!$C:$AL,34,0)+K39*VLOOKUP($B39,Parámetros!$C:$AL,35,0))*VLOOKUP($B39,Parámetros!$C:$AL,36,0)+L39)*(VLOOKUP($B39,Parámetros!$C:$AL,16,0))*(VLOOKUP($B39,Parámetros!$C:$AL,17,0)),Indices!$T$7)*D39,Indices!$U$7)</f>
        <v>8159.51</v>
      </c>
      <c r="N39" s="290">
        <f>+VLOOKUP($B39,Parámetros!$C:$AL,15,0)</f>
        <v>7793.57</v>
      </c>
      <c r="O39" s="291">
        <f t="shared" ref="O39" si="41">+M39/N39-1</f>
        <v>4.695409164221287E-2</v>
      </c>
      <c r="P39" s="292" t="s">
        <v>56</v>
      </c>
      <c r="Q39" s="290">
        <f>(VLOOKUP(B39,Parámetros!$C:$AL,20,0)*E39/Indices!$P$7+VLOOKUP(B39,Parámetros!$C:$AL,21,0)*F39/Indices!$Q$7+VLOOKUP(B39,Parámetros!$C:$AL,22,0)*G39/Indices!$R$7*Indices!$O$7/D39)*Parámetros!U43</f>
        <v>613.25878884176745</v>
      </c>
      <c r="R39" s="290">
        <f>+(VLOOKUP(B39,Parámetros!$C:$AL,24,0)*F39/Indices!$Q$7+VLOOKUP(B39,Parámetros!$C:$AL,25,0)*Indices!$O$7/D39*G39/Indices!$R$7)*Parámetros!Y43</f>
        <v>81.655976333910942</v>
      </c>
      <c r="S39" s="290">
        <f>+(VLOOKUP(B39,Parámetros!$C:$AL,27,0)*F39/Indices!$Q$7+VLOOKUP(B39,Parámetros!$C:$AL,28,0)*Indices!$O$7/D39*G39/Indices!$R$7)*Parámetros!AB43</f>
        <v>8.718133435038725</v>
      </c>
      <c r="T39" s="290">
        <f>Parámetros!AE43*Indices!$O$7/D39*G39/Indices!$R$7</f>
        <v>1.0592452508908019</v>
      </c>
      <c r="U39" s="290">
        <f>+ROUND(ROUND(((Q39*VLOOKUP($B39,Parámetros!$C:$AL,33,0)+R39*VLOOKUP($B39,Parámetros!$C:$AL,34,0)+S39*VLOOKUP($B39,Parámetros!$C:$AL,35,0))*VLOOKUP($B39,Parámetros!$C:$AL,36,0)+T39)*(VLOOKUP($B39,Parámetros!$C:$AL,31,0))*(VLOOKUP($B39,Parámetros!$C:$AL,32,0)),Indices!$T$7)*D39,Indices!$U$7)</f>
        <v>7653.13</v>
      </c>
      <c r="V39" s="233">
        <f>+VLOOKUP($B39,Parámetros!$C:$AL,30,0)</f>
        <v>7303.36</v>
      </c>
      <c r="W39" s="235">
        <f t="shared" ref="W39" si="42">+U39/V39-1</f>
        <v>4.7891655347675588E-2</v>
      </c>
    </row>
    <row r="40" spans="2:23" x14ac:dyDescent="0.2">
      <c r="B40" s="194">
        <v>45536</v>
      </c>
      <c r="C40" s="194" t="s">
        <v>138</v>
      </c>
      <c r="D40" s="227">
        <f>+VLOOKUP(DATE(YEAR(B40),MONTH(B40)-2,1),Indices!$B:$F,2,0)</f>
        <v>937.56</v>
      </c>
      <c r="E40" s="258">
        <f>+VLOOKUP(DATE(YEAR(B40),MONTH(B40)-7,1),Indices!$B:$F,4,0)</f>
        <v>262.49200000000002</v>
      </c>
      <c r="F40" s="258">
        <f>+VLOOKUP(DATE(YEAR(B40),MONTH(B40)-7,1),Indices!$B:$F,5,0)</f>
        <v>254.92599999999999</v>
      </c>
      <c r="G40" s="227">
        <f>+VLOOKUP(DATE(YEAR(B40),MONTH(B40)-2,1),Indices!$B:$F,3,0)</f>
        <v>138.28</v>
      </c>
      <c r="H40" s="232" t="s">
        <v>48</v>
      </c>
      <c r="I40" s="227">
        <f>(VLOOKUP(B40,Parámetros!$C:$Q,5,0)*E40/Indices!$P$7+VLOOKUP(B40,Parámetros!$C:$Q,6,0)*F40/Indices!$Q$7+VLOOKUP(B40,Parámetros!$C:$Q,7,0)*G40/Indices!$R$7*Indices!$O$7/D40)*Parámetros!F44</f>
        <v>638.9719743744472</v>
      </c>
      <c r="J40" s="227">
        <f>+(VLOOKUP($B40,Parámetros!$C:$L,9,0)*F40/Indices!$Q$7+VLOOKUP($B40,Parámetros!$C:$L,10,0)*Indices!$O$7/D40*G40/Indices!$R$7)*Parámetros!J44</f>
        <v>87.236274364621877</v>
      </c>
      <c r="K40" s="227">
        <f>+(VLOOKUP(B40,Parámetros!$C:$O,12,0)*F40/Indices!$Q$7+VLOOKUP(B40,Parámetros!$C:$O,13,0)*Indices!$O$7/D40*G40/Indices!$R$7)*Parámetros!M44</f>
        <v>13.485558741215884</v>
      </c>
      <c r="L40" s="227">
        <f>+Parámetros!P44*Indices!$O$7/D40*G40/Indices!$R$7</f>
        <v>1.2243795206060941</v>
      </c>
      <c r="M40" s="294">
        <f>+ROUND(ROUND(((I40*VLOOKUP($B40,Parámetros!$C:$AL,33,0)+J40*VLOOKUP($B40,Parámetros!$C:$AL,34,0)+K40*VLOOKUP($B40,Parámetros!$C:$AL,35,0))*VLOOKUP($B40,Parámetros!$C:$AL,36,0)+L40)*(VLOOKUP($B40,Parámetros!$C:$AL,16,0))*(VLOOKUP($B40,Parámetros!$C:$AL,17,0)),Indices!$T$7)*D40,Indices!$U$7)</f>
        <v>8258.8700000000008</v>
      </c>
      <c r="N40" s="294">
        <f>+VLOOKUP($B40,Parámetros!$C:$AL,15,0)</f>
        <v>7793.57</v>
      </c>
      <c r="O40" s="303">
        <f t="shared" ref="O40" si="43">+M40/N40-1</f>
        <v>5.9703062909552518E-2</v>
      </c>
      <c r="P40" s="295" t="s">
        <v>56</v>
      </c>
      <c r="Q40" s="294">
        <f>(VLOOKUP(B40,Parámetros!$C:$AL,20,0)*E40/Indices!$P$7+VLOOKUP(B40,Parámetros!$C:$AL,21,0)*F40/Indices!$Q$7+VLOOKUP(B40,Parámetros!$C:$AL,22,0)*G40/Indices!$R$7*Indices!$O$7/D40)*Parámetros!U44</f>
        <v>613.2592812079472</v>
      </c>
      <c r="R40" s="294">
        <f>+(VLOOKUP(B40,Parámetros!$C:$AL,24,0)*F40/Indices!$Q$7+VLOOKUP(B40,Parámetros!$C:$AL,25,0)*Indices!$O$7/D40*G40/Indices!$R$7)*Parámetros!Y44</f>
        <v>82.312484986562737</v>
      </c>
      <c r="S40" s="294">
        <f>+(VLOOKUP(B40,Parámetros!$C:$AL,27,0)*F40/Indices!$Q$7+VLOOKUP(B40,Parámetros!$C:$AL,28,0)*Indices!$O$7/D40*G40/Indices!$R$7)*Parámetros!AB44</f>
        <v>8.6984508454469491</v>
      </c>
      <c r="T40" s="294">
        <f>Parámetros!AE44*Indices!$O$7/D40*G40/Indices!$R$7</f>
        <v>1.0540503009373148</v>
      </c>
      <c r="U40" s="294">
        <f>+ROUND(ROUND(((Q40*VLOOKUP($B40,Parámetros!$C:$AL,33,0)+R40*VLOOKUP($B40,Parámetros!$C:$AL,34,0)+S40*VLOOKUP($B40,Parámetros!$C:$AL,35,0))*VLOOKUP($B40,Parámetros!$C:$AL,36,0)+T40)*(VLOOKUP($B40,Parámetros!$C:$AL,31,0))*(VLOOKUP($B40,Parámetros!$C:$AL,32,0)),Indices!$T$7)*D40,Indices!$U$7)</f>
        <v>7748.28</v>
      </c>
      <c r="V40" s="227">
        <f>+VLOOKUP($B40,Parámetros!$C:$AL,30,0)</f>
        <v>7303.36</v>
      </c>
      <c r="W40" s="230">
        <f t="shared" ref="W40" si="44">+U40/V40-1</f>
        <v>6.0919905358629567E-2</v>
      </c>
    </row>
    <row r="41" spans="2:23" x14ac:dyDescent="0.2">
      <c r="B41" s="38">
        <v>45566</v>
      </c>
      <c r="C41" s="38" t="s">
        <v>140</v>
      </c>
      <c r="D41" s="233">
        <f>+VLOOKUP(DATE(YEAR(B41),MONTH(B41)-2,1),Indices!$B:$F,2,0)</f>
        <v>929.9</v>
      </c>
      <c r="E41" s="228">
        <f>+VLOOKUP(DATE(YEAR(B41),MONTH(B41)-7,1),Indices!$B:$F,4,0)</f>
        <v>262.99200000000002</v>
      </c>
      <c r="F41" s="228">
        <f>+VLOOKUP(DATE(YEAR(B41),MONTH(B41)-7,1),Indices!$B:$F,5,0)</f>
        <v>255.095</v>
      </c>
      <c r="G41" s="233">
        <f>+VLOOKUP(DATE(YEAR(B41),MONTH(B41)-2,1),Indices!$B:$F,3,0)</f>
        <v>138.63</v>
      </c>
      <c r="H41" s="234" t="s">
        <v>48</v>
      </c>
      <c r="I41" s="233">
        <f>(VLOOKUP(B41,Parámetros!$C:$Q,5,0)*E41/Indices!$P$7+VLOOKUP(B41,Parámetros!$C:$Q,6,0)*F41/Indices!$Q$7+VLOOKUP(B41,Parámetros!$C:$Q,7,0)*G41/Indices!$R$7*Indices!$O$7/D41)*Parámetros!F45</f>
        <v>641.2844113303546</v>
      </c>
      <c r="J41" s="233">
        <f>+(VLOOKUP($B41,Parámetros!$C:$L,9,0)*F41/Indices!$Q$7+VLOOKUP($B41,Parámetros!$C:$L,10,0)*Indices!$O$7/D41*G41/Indices!$R$7)*Parámetros!J45</f>
        <v>87.661309516605172</v>
      </c>
      <c r="K41" s="233">
        <f>+(VLOOKUP(B41,Parámetros!$C:$O,12,0)*F41/Indices!$Q$7+VLOOKUP(B41,Parámetros!$C:$O,13,0)*Indices!$O$7/D41*G41/Indices!$R$7)*Parámetros!M45</f>
        <v>13.607566439886039</v>
      </c>
      <c r="L41" s="233">
        <f>+Parámetros!P45*Indices!$O$7/D41*G41/Indices!$R$7</f>
        <v>1.2375898299610002</v>
      </c>
      <c r="M41" s="290">
        <f>+ROUND(ROUND(((I41*VLOOKUP($B41,Parámetros!$C:$AL,33,0)+J41*VLOOKUP($B41,Parámetros!$C:$AL,34,0)+K41*VLOOKUP($B41,Parámetros!$C:$AL,35,0))*VLOOKUP($B41,Parámetros!$C:$AL,36,0)+L41)*(VLOOKUP($B41,Parámetros!$C:$AL,16,0))*(VLOOKUP($B41,Parámetros!$C:$AL,17,0)),Indices!$T$7)*D41,Indices!$U$7)</f>
        <v>8231.66</v>
      </c>
      <c r="N41" s="290">
        <f>+VLOOKUP($B41,Parámetros!$C:$AL,15,0)</f>
        <v>8095.98</v>
      </c>
      <c r="O41" s="291">
        <f t="shared" ref="O41" si="45">+M41/N41-1</f>
        <v>1.675893468116274E-2</v>
      </c>
      <c r="P41" s="292" t="s">
        <v>56</v>
      </c>
      <c r="Q41" s="290">
        <f>(VLOOKUP(B41,Parámetros!$C:$AL,20,0)*E41/Indices!$P$7+VLOOKUP(B41,Parámetros!$C:$AL,21,0)*F41/Indices!$Q$7+VLOOKUP(B41,Parámetros!$C:$AL,22,0)*G41/Indices!$R$7*Indices!$O$7/D41)*Parámetros!U45</f>
        <v>615.45716531877383</v>
      </c>
      <c r="R41" s="290">
        <f>+(VLOOKUP(B41,Parámetros!$C:$AL,24,0)*F41/Indices!$Q$7+VLOOKUP(B41,Parámetros!$C:$AL,25,0)*Indices!$O$7/D41*G41/Indices!$R$7)*Parámetros!Y45</f>
        <v>82.638280135588388</v>
      </c>
      <c r="S41" s="290">
        <f>+(VLOOKUP(B41,Parámetros!$C:$AL,27,0)*F41/Indices!$Q$7+VLOOKUP(B41,Parámetros!$C:$AL,28,0)*Indices!$O$7/D41*G41/Indices!$R$7)*Parámetros!AB45</f>
        <v>8.7800263529521043</v>
      </c>
      <c r="T41" s="290">
        <f>Parámetros!AE45*Indices!$O$7/D41*G41/Indices!$R$7</f>
        <v>1.06542286174601</v>
      </c>
      <c r="U41" s="290">
        <f>+ROUND(ROUND(((Q41*VLOOKUP($B41,Parámetros!$C:$AL,33,0)+R41*VLOOKUP($B41,Parámetros!$C:$AL,34,0)+S41*VLOOKUP($B41,Parámetros!$C:$AL,35,0))*VLOOKUP($B41,Parámetros!$C:$AL,36,0)+T41)*(VLOOKUP($B41,Parámetros!$C:$AL,31,0))*(VLOOKUP($B41,Parámetros!$C:$AL,32,0)),Indices!$T$7)*D41,Indices!$U$7)</f>
        <v>7720.96</v>
      </c>
      <c r="V41" s="233">
        <f>+VLOOKUP($B41,Parámetros!$C:$AL,30,0)</f>
        <v>7590.87</v>
      </c>
      <c r="W41" s="235">
        <f t="shared" ref="W41" si="46">+U41/V41-1</f>
        <v>1.7137693044407376E-2</v>
      </c>
    </row>
    <row r="42" spans="2:23" x14ac:dyDescent="0.2">
      <c r="B42" s="194">
        <v>45597</v>
      </c>
      <c r="C42" s="194" t="s">
        <v>140</v>
      </c>
      <c r="D42" s="227">
        <f>+VLOOKUP(DATE(YEAR(B42),MONTH(B42)-2,1),Indices!$B:$F,2,0)</f>
        <v>926.21</v>
      </c>
      <c r="E42" s="258">
        <f>+VLOOKUP(DATE(YEAR(B42),MONTH(B42)-7,1),Indices!$B:$F,4,0)</f>
        <v>264.50099999999998</v>
      </c>
      <c r="F42" s="258">
        <f>+VLOOKUP(DATE(YEAR(B42),MONTH(B42)-7,1),Indices!$B:$F,5,0)</f>
        <v>256.97800000000001</v>
      </c>
      <c r="G42" s="227">
        <f>+VLOOKUP(DATE(YEAR(B42),MONTH(B42)-2,1),Indices!$B:$F,3,0)</f>
        <v>138.75</v>
      </c>
      <c r="H42" s="232" t="s">
        <v>48</v>
      </c>
      <c r="I42" s="227">
        <f>(VLOOKUP(B42,Parámetros!$C:$Q,5,0)*E42/Indices!$P$7+VLOOKUP(B42,Parámetros!$C:$Q,6,0)*F42/Indices!$Q$7+VLOOKUP(B42,Parámetros!$C:$Q,7,0)*G42/Indices!$R$7*Indices!$O$7/D42)*Parámetros!F46</f>
        <v>644.91640091288718</v>
      </c>
      <c r="J42" s="227">
        <f>+(VLOOKUP($B42,Parámetros!$C:$L,9,0)*F42/Indices!$Q$7+VLOOKUP($B42,Parámetros!$C:$L,10,0)*Indices!$O$7/D42*G42/Indices!$R$7)*Parámetros!J46</f>
        <v>88.215709083984436</v>
      </c>
      <c r="K42" s="227">
        <f>+(VLOOKUP(B42,Parámetros!$C:$O,12,0)*F42/Indices!$Q$7+VLOOKUP(B42,Parámetros!$C:$O,13,0)*Indices!$O$7/D42*G42/Indices!$R$7)*Parámetros!M46</f>
        <v>13.679474539650174</v>
      </c>
      <c r="L42" s="227">
        <f>+Parámetros!P46*Indices!$O$7/D42*G42/Indices!$R$7</f>
        <v>1.2435959026669701</v>
      </c>
      <c r="M42" s="294">
        <f>+ROUND(ROUND(((I42*VLOOKUP($B42,Parámetros!$C:$AL,33,0)+J42*VLOOKUP($B42,Parámetros!$C:$AL,34,0)+K42*VLOOKUP($B42,Parámetros!$C:$AL,35,0))*VLOOKUP($B42,Parámetros!$C:$AL,36,0)+L42)*(VLOOKUP($B42,Parámetros!$C:$AL,16,0))*(VLOOKUP($B42,Parámetros!$C:$AL,17,0)),Indices!$T$7)*D42,Indices!$U$7)</f>
        <v>8244.94</v>
      </c>
      <c r="N42" s="294">
        <f>+VLOOKUP($B42,Parámetros!$C:$AL,15,0)</f>
        <v>8095.98</v>
      </c>
      <c r="O42" s="303">
        <f t="shared" ref="O42" si="47">+M42/N42-1</f>
        <v>1.8399254938870957E-2</v>
      </c>
      <c r="P42" s="295" t="s">
        <v>56</v>
      </c>
      <c r="Q42" s="294">
        <f>(VLOOKUP(B42,Parámetros!$C:$AL,20,0)*E42/Indices!$P$7+VLOOKUP(B42,Parámetros!$C:$AL,21,0)*F42/Indices!$Q$7+VLOOKUP(B42,Parámetros!$C:$AL,22,0)*G42/Indices!$R$7*Indices!$O$7/D42)*Parámetros!U46</f>
        <v>618.94532868397118</v>
      </c>
      <c r="R42" s="294">
        <f>+(VLOOKUP(B42,Parámetros!$C:$AL,24,0)*F42/Indices!$Q$7+VLOOKUP(B42,Parámetros!$C:$AL,25,0)*Indices!$O$7/D42*G42/Indices!$R$7)*Parámetros!Y46</f>
        <v>83.179825134398328</v>
      </c>
      <c r="S42" s="294">
        <f>+(VLOOKUP(B42,Parámetros!$C:$AL,27,0)*F42/Indices!$Q$7+VLOOKUP(B42,Parámetros!$C:$AL,28,0)*Indices!$O$7/D42*G42/Indices!$R$7)*Parámetros!AB46</f>
        <v>8.8257033271180845</v>
      </c>
      <c r="T42" s="294">
        <f>Parámetros!AE46*Indices!$O$7/D42*G42/Indices!$R$7</f>
        <v>1.0705934013022786</v>
      </c>
      <c r="U42" s="294">
        <f>+ROUND(ROUND(((Q42*VLOOKUP($B42,Parámetros!$C:$AL,33,0)+R42*VLOOKUP($B42,Parámetros!$C:$AL,34,0)+S42*VLOOKUP($B42,Parámetros!$C:$AL,35,0))*VLOOKUP($B42,Parámetros!$C:$AL,36,0)+T42)*(VLOOKUP($B42,Parámetros!$C:$AL,31,0))*(VLOOKUP($B42,Parámetros!$C:$AL,32,0)),Indices!$T$7)*D42,Indices!$U$7)</f>
        <v>7733.67</v>
      </c>
      <c r="V42" s="227">
        <f>+VLOOKUP($B42,Parámetros!$C:$AL,30,0)</f>
        <v>7590.87</v>
      </c>
      <c r="W42" s="230">
        <f t="shared" ref="W42" si="48">+U42/V42-1</f>
        <v>1.8812072924447421E-2</v>
      </c>
    </row>
    <row r="43" spans="2:23" x14ac:dyDescent="0.2">
      <c r="B43" s="38">
        <v>45627</v>
      </c>
      <c r="C43" s="38" t="s">
        <v>140</v>
      </c>
      <c r="D43" s="233">
        <f>+VLOOKUP(DATE(YEAR(B43),MONTH(B43)-2,1),Indices!$B:$F,2,0)</f>
        <v>933.81</v>
      </c>
      <c r="E43" s="228">
        <f>+VLOOKUP(DATE(YEAR(B43),MONTH(B43)-7,1),Indices!$B:$F,4,0)</f>
        <v>265.27600000000001</v>
      </c>
      <c r="F43" s="228">
        <f>+VLOOKUP(DATE(YEAR(B43),MONTH(B43)-7,1),Indices!$B:$F,5,0)</f>
        <v>255.31299999999999</v>
      </c>
      <c r="G43" s="233">
        <f>+VLOOKUP(DATE(YEAR(B43),MONTH(B43)-2,1),Indices!$B:$F,3,0)</f>
        <v>140.1</v>
      </c>
      <c r="H43" s="234" t="s">
        <v>48</v>
      </c>
      <c r="I43" s="233">
        <f>(VLOOKUP(B43,Parámetros!$C:$Q,5,0)*E43/Indices!$P$7+VLOOKUP(B43,Parámetros!$C:$Q,6,0)*F43/Indices!$Q$7+VLOOKUP(B43,Parámetros!$C:$Q,7,0)*G43/Indices!$R$7*Indices!$O$7/D43)*Parámetros!F47</f>
        <v>646.22903114294093</v>
      </c>
      <c r="J43" s="233">
        <f>+(VLOOKUP($B43,Parámetros!$C:$L,9,0)*F43/Indices!$Q$7+VLOOKUP($B43,Parámetros!$C:$L,10,0)*Indices!$O$7/D43*G43/Indices!$R$7)*Parámetros!J47</f>
        <v>87.938461283492273</v>
      </c>
      <c r="K43" s="233">
        <f>+(VLOOKUP(B43,Parámetros!$C:$O,12,0)*F43/Indices!$Q$7+VLOOKUP(B43,Parámetros!$C:$O,13,0)*Indices!$O$7/D43*G43/Indices!$R$7)*Parámetros!M47</f>
        <v>13.681467485789005</v>
      </c>
      <c r="L43" s="233">
        <f>+Parámetros!P47*Indices!$O$7/D43*G43/Indices!$R$7</f>
        <v>1.2454760229105797</v>
      </c>
      <c r="M43" s="290">
        <f>+ROUND(ROUND(((I43*VLOOKUP($B43,Parámetros!$C:$AL,33,0)+J43*VLOOKUP($B43,Parámetros!$C:$AL,34,0)+K43*VLOOKUP($B43,Parámetros!$C:$AL,35,0))*VLOOKUP($B43,Parámetros!$C:$AL,36,0)+L43)*(VLOOKUP($B43,Parámetros!$C:$AL,16,0))*(VLOOKUP($B43,Parámetros!$C:$AL,17,0)),Indices!$T$7)*D43,Indices!$U$7)</f>
        <v>8324.5400000000009</v>
      </c>
      <c r="N43" s="290">
        <f>+VLOOKUP($B43,Parámetros!$C:$AL,15,0)</f>
        <v>8095.98</v>
      </c>
      <c r="O43" s="291">
        <f t="shared" ref="O43" si="49">+M43/N43-1</f>
        <v>2.8231295037784321E-2</v>
      </c>
      <c r="P43" s="292" t="s">
        <v>56</v>
      </c>
      <c r="Q43" s="290">
        <f>(VLOOKUP(B43,Parámetros!$C:$AL,20,0)*E43/Indices!$P$7+VLOOKUP(B43,Parámetros!$C:$AL,21,0)*F43/Indices!$Q$7+VLOOKUP(B43,Parámetros!$C:$AL,22,0)*G43/Indices!$R$7*Indices!$O$7/D43)*Parámetros!U47</f>
        <v>620.20673833155831</v>
      </c>
      <c r="R43" s="290">
        <f>+(VLOOKUP(B43,Parámetros!$C:$AL,24,0)*F43/Indices!$Q$7+VLOOKUP(B43,Parámetros!$C:$AL,25,0)*Indices!$O$7/D43*G43/Indices!$R$7)*Parámetros!Y47</f>
        <v>82.858280396008681</v>
      </c>
      <c r="S43" s="290">
        <f>+(VLOOKUP(B43,Parámetros!$C:$AL,27,0)*F43/Indices!$Q$7+VLOOKUP(B43,Parámetros!$C:$AL,28,0)*Indices!$O$7/D43*G43/Indices!$R$7)*Parámetros!AB47</f>
        <v>8.8292815840399115</v>
      </c>
      <c r="T43" s="290">
        <f>Parámetros!AE47*Indices!$O$7/D43*G43/Indices!$R$7</f>
        <v>1.0722119691362082</v>
      </c>
      <c r="U43" s="290">
        <f>+ROUND(ROUND(((Q43*VLOOKUP($B43,Parámetros!$C:$AL,33,0)+R43*VLOOKUP($B43,Parámetros!$C:$AL,34,0)+S43*VLOOKUP($B43,Parámetros!$C:$AL,35,0))*VLOOKUP($B43,Parámetros!$C:$AL,36,0)+T43)*(VLOOKUP($B43,Parámetros!$C:$AL,31,0))*(VLOOKUP($B43,Parámetros!$C:$AL,32,0)),Indices!$T$7)*D43,Indices!$U$7)</f>
        <v>7807.96</v>
      </c>
      <c r="V43" s="233">
        <f>+VLOOKUP($B43,Parámetros!$C:$AL,30,0)</f>
        <v>7590.87</v>
      </c>
      <c r="W43" s="235">
        <f t="shared" ref="W43" si="50">+U43/V43-1</f>
        <v>2.8598829910142065E-2</v>
      </c>
    </row>
    <row r="44" spans="2:23" x14ac:dyDescent="0.2">
      <c r="B44" s="194">
        <v>45658</v>
      </c>
      <c r="C44" s="194" t="s">
        <v>140</v>
      </c>
      <c r="D44" s="227">
        <f>+VLOOKUP(DATE(YEAR(B44),MONTH(B44)-2,1),Indices!$B:$F,2,0)</f>
        <v>971.6</v>
      </c>
      <c r="E44" s="258">
        <f>+VLOOKUP(DATE(YEAR(B44),MONTH(B44)-7,1),Indices!$B:$F,4,0)</f>
        <v>266.238</v>
      </c>
      <c r="F44" s="258">
        <f>+VLOOKUP(DATE(YEAR(B44),MONTH(B44)-7,1),Indices!$B:$F,5,0)</f>
        <v>255.91399999999999</v>
      </c>
      <c r="G44" s="227">
        <f>+VLOOKUP(DATE(YEAR(B44),MONTH(B44)-2,1),Indices!$B:$F,3,0)</f>
        <v>140.46</v>
      </c>
      <c r="H44" s="232" t="s">
        <v>48</v>
      </c>
      <c r="I44" s="227">
        <f>(VLOOKUP(B44,Parámetros!$C:$Q,5,0)*E44/Indices!$P$7+VLOOKUP(B44,Parámetros!$C:$Q,6,0)*F44/Indices!$Q$7+VLOOKUP(B44,Parámetros!$C:$Q,7,0)*G44/Indices!$R$7*Indices!$O$7/D44)*Parámetros!F48</f>
        <v>643.26244178389334</v>
      </c>
      <c r="J44" s="227">
        <f>+(VLOOKUP($B44,Parámetros!$C:$L,9,0)*F44/Indices!$Q$7+VLOOKUP($B44,Parámetros!$C:$L,10,0)*Indices!$O$7/D44*G44/Indices!$R$7)*Parámetros!J48</f>
        <v>86.715044885075997</v>
      </c>
      <c r="K44" s="227">
        <f>+(VLOOKUP(B44,Parámetros!$C:$O,12,0)*F44/Indices!$Q$7+VLOOKUP(B44,Parámetros!$C:$O,13,0)*Indices!$O$7/D44*G44/Indices!$R$7)*Parámetros!M48</f>
        <v>13.273223914770352</v>
      </c>
      <c r="L44" s="227">
        <f>+Parámetros!P48*Indices!$O$7/D44*G44/Indices!$R$7</f>
        <v>1.2001096123296107</v>
      </c>
      <c r="M44" s="294">
        <f>+ROUND(ROUND(((I44*VLOOKUP($B44,Parámetros!$C:$AL,33,0)+J44*VLOOKUP($B44,Parámetros!$C:$AL,34,0)+K44*VLOOKUP($B44,Parámetros!$C:$AL,35,0))*VLOOKUP($B44,Parámetros!$C:$AL,36,0)+L44)*(VLOOKUP($B44,Parámetros!$C:$AL,16,0))*(VLOOKUP($B44,Parámetros!$C:$AL,17,0)),Indices!$T$7)*D44,Indices!$U$7)</f>
        <v>8568.44</v>
      </c>
      <c r="N44" s="294">
        <f>+VLOOKUP($B44,Parámetros!$C:$AL,15,0)</f>
        <v>8095.98</v>
      </c>
      <c r="O44" s="303">
        <f t="shared" ref="O44" si="51">+M44/N44-1</f>
        <v>5.8357357602168092E-2</v>
      </c>
      <c r="P44" s="295" t="s">
        <v>56</v>
      </c>
      <c r="Q44" s="294">
        <f>(VLOOKUP(B44,Parámetros!$C:$AL,20,0)*E44/Indices!$P$7+VLOOKUP(B44,Parámetros!$C:$AL,21,0)*F44/Indices!$Q$7+VLOOKUP(B44,Parámetros!$C:$AL,22,0)*G44/Indices!$R$7*Indices!$O$7/D44)*Parámetros!U48</f>
        <v>617.45673254661835</v>
      </c>
      <c r="R44" s="294">
        <f>+(VLOOKUP(B44,Parámetros!$C:$AL,24,0)*F44/Indices!$Q$7+VLOOKUP(B44,Parámetros!$C:$AL,25,0)*Indices!$O$7/D44*G44/Indices!$R$7)*Parámetros!Y48</f>
        <v>81.996774581468557</v>
      </c>
      <c r="S44" s="294">
        <f>+(VLOOKUP(B44,Parámetros!$C:$AL,27,0)*F44/Indices!$Q$7+VLOOKUP(B44,Parámetros!$C:$AL,28,0)*Indices!$O$7/D44*G44/Indices!$R$7)*Parámetros!AB48</f>
        <v>8.5547553022192133</v>
      </c>
      <c r="T44" s="294">
        <f>Parámetros!AE48*Indices!$O$7/D44*G44/Indices!$R$7</f>
        <v>1.0331566942638832</v>
      </c>
      <c r="U44" s="294">
        <f>+ROUND(ROUND(((Q44*VLOOKUP($B44,Parámetros!$C:$AL,33,0)+R44*VLOOKUP($B44,Parámetros!$C:$AL,34,0)+S44*VLOOKUP($B44,Parámetros!$C:$AL,35,0))*VLOOKUP($B44,Parámetros!$C:$AL,36,0)+T44)*(VLOOKUP($B44,Parámetros!$C:$AL,31,0))*(VLOOKUP($B44,Parámetros!$C:$AL,32,0)),Indices!$T$7)*D44,Indices!$U$7)</f>
        <v>8044.46</v>
      </c>
      <c r="V44" s="227">
        <f>+VLOOKUP($B44,Parámetros!$C:$AL,30,0)</f>
        <v>7590.87</v>
      </c>
      <c r="W44" s="230">
        <f t="shared" ref="W44" si="52">+U44/V44-1</f>
        <v>5.9754678976191133E-2</v>
      </c>
    </row>
    <row r="45" spans="2:23" x14ac:dyDescent="0.2">
      <c r="B45" s="38">
        <v>45689</v>
      </c>
      <c r="C45" s="38" t="s">
        <v>140</v>
      </c>
      <c r="D45" s="233">
        <f>+VLOOKUP(DATE(YEAR(B45),MONTH(B45)-2,1),Indices!$B:$F,2,0)</f>
        <v>982.3</v>
      </c>
      <c r="E45" s="228">
        <f>+VLOOKUP(DATE(YEAR(B45),MONTH(B45)-7,1),Indices!$B:$F,4,0)</f>
        <v>267.548</v>
      </c>
      <c r="F45" s="228">
        <f>+VLOOKUP(DATE(YEAR(B45),MONTH(B45)-7,1),Indices!$B:$F,5,0)</f>
        <v>257.32100000000003</v>
      </c>
      <c r="G45" s="233">
        <f>+VLOOKUP(DATE(YEAR(B45),MONTH(B45)-2,1),Indices!$B:$F,3,0)</f>
        <v>140.18</v>
      </c>
      <c r="H45" s="234" t="s">
        <v>48</v>
      </c>
      <c r="I45" s="233">
        <f>(VLOOKUP(B45,Parámetros!$C:$Q,5,0)*E45/Indices!$P$7+VLOOKUP(B45,Parámetros!$C:$Q,6,0)*F45/Indices!$Q$7+VLOOKUP(B45,Parámetros!$C:$Q,7,0)*G45/Indices!$R$7*Indices!$O$7/D45)*Parámetros!F49</f>
        <v>644.20187695459299</v>
      </c>
      <c r="J45" s="233">
        <f>+(VLOOKUP($B45,Parámetros!$C:$L,9,0)*F45/Indices!$Q$7+VLOOKUP($B45,Parámetros!$C:$L,10,0)*Indices!$O$7/D45*G45/Indices!$R$7)*Parámetros!J49</f>
        <v>86.539142107723791</v>
      </c>
      <c r="K45" s="233">
        <f>+(VLOOKUP(B45,Parámetros!$C:$O,12,0)*F45/Indices!$Q$7+VLOOKUP(B45,Parámetros!$C:$O,13,0)*Indices!$O$7/D45*G45/Indices!$R$7)*Parámetros!M49</f>
        <v>13.145235881794134</v>
      </c>
      <c r="L45" s="233">
        <f>+Parámetros!P49*Indices!$O$7/D45*G45/Indices!$R$7</f>
        <v>1.1846707560892009</v>
      </c>
      <c r="M45" s="290">
        <f>+ROUND(ROUND(((I45*VLOOKUP($B45,Parámetros!$C:$AL,33,0)+J45*VLOOKUP($B45,Parámetros!$C:$AL,34,0)+K45*VLOOKUP($B45,Parámetros!$C:$AL,35,0))*VLOOKUP($B45,Parámetros!$C:$AL,36,0)+L45)*(VLOOKUP($B45,Parámetros!$C:$AL,16,0))*(VLOOKUP($B45,Parámetros!$C:$AL,17,0)),Indices!$T$7)*D45,Indices!$U$7)</f>
        <v>8652.59</v>
      </c>
      <c r="N45" s="290">
        <f>+VLOOKUP($B45,Parámetros!$C:$AL,15,0)</f>
        <v>8095.98</v>
      </c>
      <c r="O45" s="291">
        <f t="shared" ref="O45" si="53">+M45/N45-1</f>
        <v>6.8751405018293132E-2</v>
      </c>
      <c r="P45" s="292" t="s">
        <v>56</v>
      </c>
      <c r="Q45" s="290">
        <f>(VLOOKUP(B45,Parámetros!$C:$AL,20,0)*E45/Indices!$P$7+VLOOKUP(B45,Parámetros!$C:$AL,21,0)*F45/Indices!$Q$7+VLOOKUP(B45,Parámetros!$C:$AL,22,0)*G45/Indices!$R$7*Indices!$O$7/D45)*Parámetros!U49</f>
        <v>618.40058802143039</v>
      </c>
      <c r="R45" s="290">
        <f>+(VLOOKUP(B45,Parámetros!$C:$AL,24,0)*F45/Indices!$Q$7+VLOOKUP(B45,Parámetros!$C:$AL,25,0)*Indices!$O$7/D45*G45/Indices!$R$7)*Parámetros!Y49</f>
        <v>81.965515984764494</v>
      </c>
      <c r="S45" s="290">
        <f>+(VLOOKUP(B45,Parámetros!$C:$AL,27,0)*F45/Indices!$Q$7+VLOOKUP(B45,Parámetros!$C:$AL,28,0)*Indices!$O$7/D45*G45/Indices!$R$7)*Parámetros!AB49</f>
        <v>8.4670479394427769</v>
      </c>
      <c r="T45" s="290">
        <f>Parámetros!AE49*Indices!$O$7/D45*G45/Indices!$R$7</f>
        <v>1.0198656102556536</v>
      </c>
      <c r="U45" s="290">
        <f>+ROUND(ROUND(((Q45*VLOOKUP($B45,Parámetros!$C:$AL,33,0)+R45*VLOOKUP($B45,Parámetros!$C:$AL,34,0)+S45*VLOOKUP($B45,Parámetros!$C:$AL,35,0))*VLOOKUP($B45,Parámetros!$C:$AL,36,0)+T45)*(VLOOKUP($B45,Parámetros!$C:$AL,31,0))*(VLOOKUP($B45,Parámetros!$C:$AL,32,0)),Indices!$T$7)*D45,Indices!$U$7)</f>
        <v>8126.96</v>
      </c>
      <c r="V45" s="233">
        <f>+VLOOKUP($B45,Parámetros!$C:$AL,30,0)</f>
        <v>7590.87</v>
      </c>
      <c r="W45" s="235">
        <f t="shared" ref="W45" si="54">+U45/V45-1</f>
        <v>7.0622998417836147E-2</v>
      </c>
    </row>
    <row r="46" spans="2:23" x14ac:dyDescent="0.2">
      <c r="B46" s="194">
        <v>45717</v>
      </c>
      <c r="C46" s="194" t="s">
        <v>140</v>
      </c>
      <c r="D46" s="227">
        <f>+VLOOKUP(DATE(YEAR(B46),MONTH(B46)-2,1),Indices!$B:$F,2,0)</f>
        <v>1000.76</v>
      </c>
      <c r="E46" s="258">
        <f>+VLOOKUP(DATE(YEAR(B46),MONTH(B46)-7,1),Indices!$B:$F,4,0)</f>
        <v>269.089</v>
      </c>
      <c r="F46" s="258">
        <f>+VLOOKUP(DATE(YEAR(B46),MONTH(B46)-7,1),Indices!$B:$F,5,0)</f>
        <v>255.46299999999999</v>
      </c>
      <c r="G46" s="227">
        <f>+VLOOKUP(DATE(YEAR(B46),MONTH(B46)-2,1),Indices!$B:$F,3,0)</f>
        <v>141.66999999999999</v>
      </c>
      <c r="H46" s="232" t="s">
        <v>48</v>
      </c>
      <c r="I46" s="227">
        <f>(VLOOKUP(B46,Parámetros!$C:$Q,5,0)*E46/Indices!$P$7+VLOOKUP(B46,Parámetros!$C:$Q,6,0)*F46/Indices!$Q$7+VLOOKUP(B46,Parámetros!$C:$Q,7,0)*G46/Indices!$R$7*Indices!$O$7/D46)*Parámetros!F50</f>
        <v>645.65235941133528</v>
      </c>
      <c r="J46" s="227">
        <f>+(VLOOKUP($B46,Parámetros!$C:$L,9,0)*F46/Indices!$Q$7+VLOOKUP($B46,Parámetros!$C:$L,10,0)*Indices!$O$7/D46*G46/Indices!$R$7)*Parámetros!J50</f>
        <v>85.886483111696009</v>
      </c>
      <c r="K46" s="227">
        <f>+(VLOOKUP(B46,Parámetros!$C:$O,12,0)*F46/Indices!$Q$7+VLOOKUP(B46,Parámetros!$C:$O,13,0)*Indices!$O$7/D46*G46/Indices!$R$7)*Parámetros!M50</f>
        <v>13.041760404050414</v>
      </c>
      <c r="L46" s="227">
        <f>+Parámetros!P50*Indices!$O$7/D46*G46/Indices!$R$7</f>
        <v>1.1751781600662394</v>
      </c>
      <c r="M46" s="294">
        <f>+ROUND(ROUND(((I46*VLOOKUP($B46,Parámetros!$C:$AL,33,0)+J46*VLOOKUP($B46,Parámetros!$C:$AL,34,0)+K46*VLOOKUP($B46,Parámetros!$C:$AL,35,0))*VLOOKUP($B46,Parámetros!$C:$AL,36,0)+L46)*(VLOOKUP($B46,Parámetros!$C:$AL,16,0))*(VLOOKUP($B46,Parámetros!$C:$AL,17,0)),Indices!$T$7)*D46,Indices!$U$7)</f>
        <v>8812.39</v>
      </c>
      <c r="N46" s="294">
        <f>+VLOOKUP($B46,Parámetros!$C:$AL,15,0)</f>
        <v>8095.98</v>
      </c>
      <c r="O46" s="303">
        <f t="shared" ref="O46" si="55">+M46/N46-1</f>
        <v>8.8489596071136489E-2</v>
      </c>
      <c r="P46" s="295" t="s">
        <v>56</v>
      </c>
      <c r="Q46" s="294">
        <f>(VLOOKUP(B46,Parámetros!$C:$AL,20,0)*E46/Indices!$P$7+VLOOKUP(B46,Parámetros!$C:$AL,21,0)*F46/Indices!$Q$7+VLOOKUP(B46,Parámetros!$C:$AL,22,0)*G46/Indices!$R$7*Indices!$O$7/D46)*Parámetros!U50</f>
        <v>619.82282419278226</v>
      </c>
      <c r="R46" s="294">
        <f>+(VLOOKUP(B46,Parámetros!$C:$AL,24,0)*F46/Indices!$Q$7+VLOOKUP(B46,Parámetros!$C:$AL,25,0)*Indices!$O$7/D46*G46/Indices!$R$7)*Parámetros!Y50</f>
        <v>81.353146795777675</v>
      </c>
      <c r="S46" s="294">
        <f>+(VLOOKUP(B46,Parámetros!$C:$AL,27,0)*F46/Indices!$Q$7+VLOOKUP(B46,Parámetros!$C:$AL,28,0)*Indices!$O$7/D46*G46/Indices!$R$7)*Parámetros!AB50</f>
        <v>8.4001721721429572</v>
      </c>
      <c r="T46" s="294">
        <f>Parámetros!AE50*Indices!$O$7/D46*G46/Indices!$R$7</f>
        <v>1.0116935741130317</v>
      </c>
      <c r="U46" s="294">
        <f>+ROUND(ROUND(((Q46*VLOOKUP($B46,Parámetros!$C:$AL,33,0)+R46*VLOOKUP($B46,Parámetros!$C:$AL,34,0)+S46*VLOOKUP($B46,Parámetros!$C:$AL,35,0))*VLOOKUP($B46,Parámetros!$C:$AL,36,0)+T46)*(VLOOKUP($B46,Parámetros!$C:$AL,31,0))*(VLOOKUP($B46,Parámetros!$C:$AL,32,0)),Indices!$T$7)*D46,Indices!$U$7)</f>
        <v>8278.69</v>
      </c>
      <c r="V46" s="227">
        <f>+VLOOKUP($B46,Parámetros!$C:$AL,30,0)</f>
        <v>7590.87</v>
      </c>
      <c r="W46" s="230">
        <f t="shared" ref="W46" si="56">+U46/V46-1</f>
        <v>9.0611484586088364E-2</v>
      </c>
    </row>
    <row r="47" spans="2:23" x14ac:dyDescent="0.2">
      <c r="B47" s="38">
        <v>45748</v>
      </c>
      <c r="C47" s="38" t="s">
        <v>141</v>
      </c>
      <c r="D47" s="233">
        <f>+VLOOKUP(DATE(YEAR(B47),MONTH(B47)-2,1),Indices!$B:$F,2,0)</f>
        <v>956.62</v>
      </c>
      <c r="E47" s="228">
        <f>+VLOOKUP(DATE(YEAR(B47),MONTH(B47)-7,1),Indices!$B:$F,4,0)</f>
        <v>267.01900000000001</v>
      </c>
      <c r="F47" s="228">
        <f>+VLOOKUP(DATE(YEAR(B47),MONTH(B47)-7,1),Indices!$B:$F,5,0)</f>
        <v>252.68199999999999</v>
      </c>
      <c r="G47" s="233">
        <f>+VLOOKUP(DATE(YEAR(B47),MONTH(B47)-2,1),Indices!$B:$F,3,0)</f>
        <v>142.22</v>
      </c>
      <c r="H47" s="234" t="s">
        <v>48</v>
      </c>
      <c r="I47" s="233">
        <f>(VLOOKUP(B47,Parámetros!$C:$Q,5,0)*E47/Indices!$P$7+VLOOKUP(B47,Parámetros!$C:$Q,6,0)*F47/Indices!$Q$7+VLOOKUP(B47,Parámetros!$C:$Q,7,0)*G47/Indices!$R$7*Indices!$O$7/D47)*Parámetros!F51</f>
        <v>647.72462118553187</v>
      </c>
      <c r="J47" s="233">
        <f>+(VLOOKUP($B47,Parámetros!$C:$L,9,0)*F47/Indices!$Q$7+VLOOKUP($B47,Parámetros!$C:$L,10,0)*Indices!$O$7/D47*G47/Indices!$R$7)*Parámetros!J51</f>
        <v>87.077694815458116</v>
      </c>
      <c r="K47" s="233">
        <f>+(VLOOKUP(B47,Parámetros!$C:$O,12,0)*F47/Indices!$Q$7+VLOOKUP(B47,Parámetros!$C:$O,13,0)*Indices!$O$7/D47*G47/Indices!$R$7)*Parámetros!M51</f>
        <v>13.554471443619342</v>
      </c>
      <c r="L47" s="233">
        <f>+Parámetros!P51*Indices!$O$7/D47*G47/Indices!$R$7</f>
        <v>1.23417565165887</v>
      </c>
      <c r="M47" s="290">
        <f>+ROUND(ROUND(((I47*VLOOKUP($B47,Parámetros!$C:$AL,33,0)+J47*VLOOKUP($B47,Parámetros!$C:$AL,34,0)+K47*VLOOKUP($B47,Parámetros!$C:$AL,35,0))*VLOOKUP($B47,Parámetros!$C:$AL,36,0)+L47)*(VLOOKUP($B47,Parámetros!$C:$AL,16,0))*(VLOOKUP($B47,Parámetros!$C:$AL,17,0)),Indices!$T$7)*D47,Indices!$U$7)</f>
        <v>8521.57</v>
      </c>
      <c r="N47" s="290">
        <f>+VLOOKUP($B47,Parámetros!$C:$AL,15,0)</f>
        <v>8568.64</v>
      </c>
      <c r="O47" s="291">
        <f>+M47/N47-1</f>
        <v>-5.4932871494192126E-3</v>
      </c>
      <c r="P47" s="292" t="s">
        <v>56</v>
      </c>
      <c r="Q47" s="290">
        <f>(VLOOKUP(B47,Parámetros!$C:$AL,20,0)*E47/Indices!$P$7+VLOOKUP(B47,Parámetros!$C:$AL,21,0)*F47/Indices!$Q$7+VLOOKUP(B47,Parámetros!$C:$AL,22,0)*G47/Indices!$R$7*Indices!$O$7/D47)*Parámetros!U51</f>
        <v>621.6769247501885</v>
      </c>
      <c r="R47" s="290">
        <f>+(VLOOKUP(B47,Parámetros!$C:$AL,24,0)*F47/Indices!$Q$7+VLOOKUP(B47,Parámetros!$C:$AL,25,0)*Indices!$O$7/D47*G47/Indices!$R$7)*Parámetros!Y51</f>
        <v>82.037988734833917</v>
      </c>
      <c r="S47" s="290">
        <f>+(VLOOKUP(B47,Parámetros!$C:$AL,27,0)*F47/Indices!$Q$7+VLOOKUP(B47,Parámetros!$C:$AL,28,0)*Indices!$O$7/D47*G47/Indices!$R$7)*Parámetros!AB51</f>
        <v>8.7476767705092868</v>
      </c>
      <c r="T47" s="290">
        <f>Parámetros!AE51*Indices!$O$7/D47*G47/Indices!$R$7</f>
        <v>1.0624836459177083</v>
      </c>
      <c r="U47" s="290">
        <f>+ROUND(ROUND(((Q47*VLOOKUP($B47,Parámetros!$C:$AL,33,0)+R47*VLOOKUP($B47,Parámetros!$C:$AL,34,0)+S47*VLOOKUP($B47,Parámetros!$C:$AL,35,0))*VLOOKUP($B47,Parámetros!$C:$AL,36,0)+T47)*(VLOOKUP($B47,Parámetros!$C:$AL,31,0))*(VLOOKUP($B47,Parámetros!$C:$AL,32,0)),Indices!$T$7)*D47,Indices!$U$7)</f>
        <v>7994.57</v>
      </c>
      <c r="V47" s="233">
        <f>+VLOOKUP($B47,Parámetros!$C:$AL,30,0)</f>
        <v>8044.56</v>
      </c>
      <c r="W47" s="235">
        <f t="shared" ref="W47" si="57">+U47/V47-1</f>
        <v>-6.2141372554870289E-3</v>
      </c>
    </row>
    <row r="48" spans="2:23" x14ac:dyDescent="0.2">
      <c r="B48" s="194">
        <v>45778</v>
      </c>
      <c r="C48" s="194" t="s">
        <v>141</v>
      </c>
      <c r="D48" s="227">
        <f>+VLOOKUP(DATE(YEAR(B48),MONTH(B48)-2,1),Indices!$B:$F,2,0)</f>
        <v>932.55</v>
      </c>
      <c r="E48" s="258">
        <f>+VLOOKUP(DATE(YEAR(B48),MONTH(B48)-7,1),Indices!$B:$F,4,0)</f>
        <v>267.84199999999998</v>
      </c>
      <c r="F48" s="258">
        <f>+VLOOKUP(DATE(YEAR(B48),MONTH(B48)-7,1),Indices!$B:$F,5,0)</f>
        <v>253.08099999999999</v>
      </c>
      <c r="G48" s="227">
        <f>+VLOOKUP(DATE(YEAR(B48),MONTH(B48)-2,1),Indices!$B:$F,3,0)</f>
        <v>142.94</v>
      </c>
      <c r="H48" s="232" t="s">
        <v>48</v>
      </c>
      <c r="I48" s="227">
        <f>(VLOOKUP(B48,Parámetros!$C:$Q,5,0)*E48/Indices!$P$7+VLOOKUP(B48,Parámetros!$C:$Q,6,0)*F48/Indices!$Q$7+VLOOKUP(B48,Parámetros!$C:$Q,7,0)*G48/Indices!$R$7*Indices!$O$7/D48)*Parámetros!F52</f>
        <v>653.29164714311889</v>
      </c>
      <c r="J48" s="227">
        <f>+(VLOOKUP($B48,Parámetros!$C:$L,9,0)*F48/Indices!$Q$7+VLOOKUP($B48,Parámetros!$C:$L,10,0)*Indices!$O$7/D48*G48/Indices!$R$7)*Parámetros!J52</f>
        <v>88.29073979441975</v>
      </c>
      <c r="K48" s="227">
        <f>+(VLOOKUP(B48,Parámetros!$C:$O,12,0)*F48/Indices!$Q$7+VLOOKUP(B48,Parámetros!$C:$O,13,0)*Indices!$O$7/D48*G48/Indices!$R$7)*Parámetros!M52</f>
        <v>13.907051854708559</v>
      </c>
      <c r="L48" s="227">
        <f>+Parámetros!P52*Indices!$O$7/D48*G48/Indices!$R$7</f>
        <v>1.2724402773690962</v>
      </c>
      <c r="M48" s="294">
        <f>+ROUND(ROUND(((I48*VLOOKUP($B48,Parámetros!$C:$AL,33,0)+J48*VLOOKUP($B48,Parámetros!$C:$AL,34,0)+K48*VLOOKUP($B48,Parámetros!$C:$AL,35,0))*VLOOKUP($B48,Parámetros!$C:$AL,36,0)+L48)*(VLOOKUP($B48,Parámetros!$C:$AL,16,0))*(VLOOKUP($B48,Parámetros!$C:$AL,17,0)),Indices!$T$7)*D48,Indices!$U$7)</f>
        <v>8413.2800000000007</v>
      </c>
      <c r="N48" s="294">
        <f>+VLOOKUP($B48,Parámetros!$C:$AL,15,0)</f>
        <v>8568.64</v>
      </c>
      <c r="O48" s="303">
        <f t="shared" ref="O48" si="58">+M48/N48-1</f>
        <v>-1.8131232027486122E-2</v>
      </c>
      <c r="P48" s="295" t="s">
        <v>56</v>
      </c>
      <c r="Q48" s="294">
        <f>(VLOOKUP(B48,Parámetros!$C:$AL,20,0)*E48/Indices!$P$7+VLOOKUP(B48,Parámetros!$C:$AL,21,0)*F48/Indices!$Q$7+VLOOKUP(B48,Parámetros!$C:$AL,22,0)*G48/Indices!$R$7*Indices!$O$7/D48)*Parámetros!U52</f>
        <v>626.95233835491092</v>
      </c>
      <c r="R48" s="294">
        <f>+(VLOOKUP(B48,Parámetros!$C:$AL,24,0)*F48/Indices!$Q$7+VLOOKUP(B48,Parámetros!$C:$AL,25,0)*Indices!$O$7/D48*G48/Indices!$R$7)*Parámetros!Y52</f>
        <v>82.961960752840682</v>
      </c>
      <c r="S48" s="294">
        <f>+(VLOOKUP(B48,Parámetros!$C:$AL,27,0)*F48/Indices!$Q$7+VLOOKUP(B48,Parámetros!$C:$AL,28,0)*Indices!$O$7/D48*G48/Indices!$R$7)*Parámetros!AB52</f>
        <v>8.9835357420361337</v>
      </c>
      <c r="T48" s="294">
        <f>Parámetros!AE52*Indices!$O$7/D48*G48/Indices!$R$7</f>
        <v>1.0954250987649037</v>
      </c>
      <c r="U48" s="294">
        <f>+ROUND(ROUND(((Q48*VLOOKUP($B48,Parámetros!$C:$AL,33,0)+R48*VLOOKUP($B48,Parámetros!$C:$AL,34,0)+S48*VLOOKUP($B48,Parámetros!$C:$AL,35,0))*VLOOKUP($B48,Parámetros!$C:$AL,36,0)+T48)*(VLOOKUP($B48,Parámetros!$C:$AL,31,0))*(VLOOKUP($B48,Parámetros!$C:$AL,32,0)),Indices!$T$7)*D48,Indices!$U$7)</f>
        <v>7887.6</v>
      </c>
      <c r="V48" s="227">
        <f>+VLOOKUP($B48,Parámetros!$C:$AL,30,0)</f>
        <v>8044.56</v>
      </c>
      <c r="W48" s="230">
        <f t="shared" ref="W48" si="59">+U48/V48-1</f>
        <v>-1.9511321936811932E-2</v>
      </c>
    </row>
    <row r="49" spans="2:23" x14ac:dyDescent="0.2">
      <c r="B49" s="38">
        <v>45809</v>
      </c>
      <c r="C49" s="38" t="s">
        <v>141</v>
      </c>
      <c r="D49" s="233">
        <f>+VLOOKUP(DATE(YEAR(B49),MONTH(B49)-2,1),Indices!$B:$F,2,0)</f>
        <v>961.96</v>
      </c>
      <c r="E49" s="228">
        <f>+VLOOKUP(DATE(YEAR(B49),MONTH(B49)-7,1),Indices!$B:$F,4,0)</f>
        <v>269.25700000000001</v>
      </c>
      <c r="F49" s="228">
        <f>+VLOOKUP(DATE(YEAR(B49),MONTH(B49)-7,1),Indices!$B:$F,5,0)</f>
        <v>253.21100000000001</v>
      </c>
      <c r="G49" s="233">
        <f>+VLOOKUP(DATE(YEAR(B49),MONTH(B49)-2,1),Indices!$B:$F,3,0)</f>
        <v>143.22</v>
      </c>
      <c r="H49" s="234" t="s">
        <v>48</v>
      </c>
      <c r="I49" s="233">
        <f>(VLOOKUP(B49,Parámetros!$C:$Q,5,0)*E49/Indices!$P$7+VLOOKUP(B49,Parámetros!$C:$Q,6,0)*F49/Indices!$Q$7+VLOOKUP(B49,Parámetros!$C:$Q,7,0)*G49/Indices!$R$7*Indices!$O$7/D49)*Parámetros!F53</f>
        <v>651.99369357026103</v>
      </c>
      <c r="J49" s="233">
        <f>+(VLOOKUP($B49,Parámetros!$C:$L,9,0)*F49/Indices!$Q$7+VLOOKUP($B49,Parámetros!$C:$L,10,0)*Indices!$O$7/D49*G49/Indices!$R$7)*Parámetros!J53</f>
        <v>87.23614980826386</v>
      </c>
      <c r="K49" s="233">
        <f>+(VLOOKUP(B49,Parámetros!$C:$O,12,0)*F49/Indices!$Q$7+VLOOKUP(B49,Parámetros!$C:$O,13,0)*Indices!$O$7/D49*G49/Indices!$R$7)*Parámetros!M53</f>
        <v>13.575505812916075</v>
      </c>
      <c r="L49" s="233">
        <f>+Parámetros!P53*Indices!$O$7/D49*G49/Indices!$R$7</f>
        <v>1.2359542977811737</v>
      </c>
      <c r="M49" s="290">
        <f>+ROUND(ROUND(((I49*VLOOKUP($B49,Parámetros!$C:$AL,33,0)+J49*VLOOKUP($B49,Parámetros!$C:$AL,34,0)+K49*VLOOKUP($B49,Parámetros!$C:$AL,35,0))*VLOOKUP($B49,Parámetros!$C:$AL,36,0)+L49)*(VLOOKUP($B49,Parámetros!$C:$AL,16,0))*(VLOOKUP($B49,Parámetros!$C:$AL,17,0)),Indices!$T$7)*D49,Indices!$U$7)</f>
        <v>8614.5400000000009</v>
      </c>
      <c r="N49" s="290">
        <f>+VLOOKUP($B49,Parámetros!$C:$AL,15,0)</f>
        <v>8568.64</v>
      </c>
      <c r="O49" s="291">
        <f t="shared" ref="O49" si="60">+M49/N49-1</f>
        <v>5.3567427269674006E-3</v>
      </c>
      <c r="P49" s="292" t="s">
        <v>56</v>
      </c>
      <c r="Q49" s="290">
        <f>(VLOOKUP(B49,Parámetros!$C:$AL,20,0)*E49/Indices!$P$7+VLOOKUP(B49,Parámetros!$C:$AL,21,0)*F49/Indices!$Q$7+VLOOKUP(B49,Parámetros!$C:$AL,22,0)*G49/Indices!$R$7*Indices!$O$7/D49)*Parámetros!U53</f>
        <v>625.78991774299504</v>
      </c>
      <c r="R49" s="290">
        <f>+(VLOOKUP(B49,Parámetros!$C:$AL,24,0)*F49/Indices!$Q$7+VLOOKUP(B49,Parámetros!$C:$AL,25,0)*Indices!$O$7/D49*G49/Indices!$R$7)*Parámetros!Y53</f>
        <v>82.192125446381212</v>
      </c>
      <c r="S49" s="290">
        <f>+(VLOOKUP(B49,Parámetros!$C:$AL,27,0)*F49/Indices!$Q$7+VLOOKUP(B49,Parámetros!$C:$AL,28,0)*Indices!$O$7/D49*G49/Indices!$R$7)*Parámetros!AB53</f>
        <v>8.7610674485241056</v>
      </c>
      <c r="T49" s="290">
        <f>Parámetros!AE53*Indices!$O$7/D49*G49/Indices!$R$7</f>
        <v>1.0640148561747593</v>
      </c>
      <c r="U49" s="290">
        <f>+ROUND(ROUND(((Q49*VLOOKUP($B49,Parámetros!$C:$AL,33,0)+R49*VLOOKUP($B49,Parámetros!$C:$AL,34,0)+S49*VLOOKUP($B49,Parámetros!$C:$AL,35,0))*VLOOKUP($B49,Parámetros!$C:$AL,36,0)+T49)*(VLOOKUP($B49,Parámetros!$C:$AL,31,0))*(VLOOKUP($B49,Parámetros!$C:$AL,32,0)),Indices!$T$7)*D49,Indices!$U$7)</f>
        <v>8082.68</v>
      </c>
      <c r="V49" s="233">
        <f>+VLOOKUP($B49,Parámetros!$C:$AL,30,0)</f>
        <v>8044.56</v>
      </c>
      <c r="W49" s="235">
        <f t="shared" ref="W49" si="61">+U49/V49-1</f>
        <v>4.7386059647762657E-3</v>
      </c>
    </row>
    <row r="50" spans="2:23" x14ac:dyDescent="0.2">
      <c r="B50" s="194">
        <v>45839</v>
      </c>
      <c r="C50" s="194" t="s">
        <v>141</v>
      </c>
      <c r="D50" s="227">
        <f>+VLOOKUP(DATE(YEAR(B50),MONTH(B50)-2,1),Indices!$B:$F,2,0)</f>
        <v>941.01</v>
      </c>
      <c r="E50" s="258">
        <f>+VLOOKUP(DATE(YEAR(B50),MONTH(B50)-7,1),Indices!$B:$F,4,0)</f>
        <v>270.68599999999998</v>
      </c>
      <c r="F50" s="258">
        <f>+VLOOKUP(DATE(YEAR(B50),MONTH(B50)-7,1),Indices!$B:$F,5,0)</f>
        <v>253.423</v>
      </c>
      <c r="G50" s="227">
        <f>+VLOOKUP(DATE(YEAR(B50),MONTH(B50)-2,1),Indices!$B:$F,3,0)</f>
        <v>143.5</v>
      </c>
      <c r="H50" s="232" t="s">
        <v>48</v>
      </c>
      <c r="I50" s="227">
        <f>(VLOOKUP(B50,Parámetros!$C:$Q,5,0)*E50/Indices!$P$7+VLOOKUP(B50,Parámetros!$C:$Q,6,0)*F50/Indices!$Q$7+VLOOKUP(B50,Parámetros!$C:$Q,7,0)*G50/Indices!$R$7*Indices!$O$7/D50)*Parámetros!F54</f>
        <v>657.74002404488522</v>
      </c>
      <c r="J50" s="227">
        <f>+(VLOOKUP($B50,Parámetros!$C:$L,9,0)*F50/Indices!$Q$7+VLOOKUP($B50,Parámetros!$C:$L,10,0)*Indices!$O$7/D50*G50/Indices!$R$7)*Parámetros!J54</f>
        <v>88.166636016976241</v>
      </c>
      <c r="K50" s="227">
        <f>+(VLOOKUP(B50,Parámetros!$C:$O,12,0)*F50/Indices!$Q$7+VLOOKUP(B50,Parámetros!$C:$O,13,0)*Indices!$O$7/D50*G50/Indices!$R$7)*Parámetros!M54</f>
        <v>13.850893717282863</v>
      </c>
      <c r="L50" s="227">
        <f>+Parámetros!P54*Indices!$O$7/D50*G50/Indices!$R$7</f>
        <v>1.2659408634622433</v>
      </c>
      <c r="M50" s="294">
        <f>+ROUND(ROUND(((I50*VLOOKUP($B50,Parámetros!$C:$AL,33,0)+J50*VLOOKUP($B50,Parámetros!$C:$AL,34,0)+K50*VLOOKUP($B50,Parámetros!$C:$AL,35,0))*VLOOKUP($B50,Parámetros!$C:$AL,36,0)+L50)*(VLOOKUP($B50,Parámetros!$C:$AL,16,0))*(VLOOKUP($B50,Parámetros!$C:$AL,17,0)),Indices!$T$7)*D50,Indices!$U$7)</f>
        <v>8523.86</v>
      </c>
      <c r="N50" s="294">
        <f>+VLOOKUP($B50,Parámetros!$C:$AL,15,0)</f>
        <v>8568.64</v>
      </c>
      <c r="O50" s="303">
        <f t="shared" ref="O50:O57" si="62">+M50/N50-1</f>
        <v>-5.2260335362436239E-3</v>
      </c>
      <c r="P50" s="295" t="s">
        <v>56</v>
      </c>
      <c r="Q50" s="294">
        <f>(VLOOKUP(B50,Parámetros!$C:$AL,20,0)*E50/Indices!$P$7+VLOOKUP(B50,Parámetros!$C:$AL,21,0)*F50/Indices!$Q$7+VLOOKUP(B50,Parámetros!$C:$AL,22,0)*G50/Indices!$R$7*Indices!$O$7/D50)*Parámetros!U54</f>
        <v>631.25855338384736</v>
      </c>
      <c r="R50" s="294">
        <f>+(VLOOKUP(B50,Parámetros!$C:$AL,24,0)*F50/Indices!$Q$7+VLOOKUP(B50,Parámetros!$C:$AL,25,0)*Indices!$O$7/D50*G50/Indices!$R$7)*Parámetros!Y54</f>
        <v>82.894277361294797</v>
      </c>
      <c r="S50" s="294">
        <f>+(VLOOKUP(B50,Parámetros!$C:$AL,27,0)*F50/Indices!$Q$7+VLOOKUP(B50,Parámetros!$C:$AL,28,0)*Indices!$O$7/D50*G50/Indices!$R$7)*Parámetros!AB54</f>
        <v>8.9454226040611324</v>
      </c>
      <c r="T50" s="294">
        <f>Parámetros!AE54*Indices!$O$7/D50*G50/Indices!$R$7</f>
        <v>1.0898298490329881</v>
      </c>
      <c r="U50" s="294">
        <f>+ROUND(ROUND(((Q50*VLOOKUP($B50,Parámetros!$C:$AL,33,0)+R50*VLOOKUP($B50,Parámetros!$C:$AL,34,0)+S50*VLOOKUP($B50,Parámetros!$C:$AL,35,0))*VLOOKUP($B50,Parámetros!$C:$AL,36,0)+T50)*(VLOOKUP($B50,Parámetros!$C:$AL,31,0))*(VLOOKUP($B50,Parámetros!$C:$AL,32,0)),Indices!$T$7)*D50,Indices!$U$7)</f>
        <v>7993.69</v>
      </c>
      <c r="V50" s="227">
        <f>+VLOOKUP($B50,Parámetros!$C:$AL,30,0)</f>
        <v>8044.56</v>
      </c>
      <c r="W50" s="230">
        <f t="shared" ref="W50:W57" si="63">+U50/V50-1</f>
        <v>-6.3235279493223384E-3</v>
      </c>
    </row>
    <row r="51" spans="2:23" x14ac:dyDescent="0.2">
      <c r="B51" s="38">
        <v>45870</v>
      </c>
      <c r="C51" s="38" t="s">
        <v>141</v>
      </c>
      <c r="D51" s="233">
        <f>+VLOOKUP(DATE(YEAR(B51),MONTH(B51)-2,1),Indices!$B:$F,2,0)</f>
        <v>938.04</v>
      </c>
      <c r="E51" s="228">
        <f>+VLOOKUP(DATE(YEAR(B51),MONTH(B51)-7,1),Indices!$B:$F,4,0)</f>
        <v>272.755</v>
      </c>
      <c r="F51" s="228">
        <f>+VLOOKUP(DATE(YEAR(B51),MONTH(B51)-7,1),Indices!$B:$F,5,0)</f>
        <v>257.36</v>
      </c>
      <c r="G51" s="233">
        <f>+VLOOKUP(DATE(YEAR(B51),MONTH(B51)-2,1),Indices!$B:$F,3,0)</f>
        <v>142.91</v>
      </c>
      <c r="H51" s="234" t="s">
        <v>48</v>
      </c>
      <c r="I51" s="233">
        <f>(VLOOKUP(B51,Parámetros!$C:$Q,5,0)*E51/Indices!$P$7+VLOOKUP(B51,Parámetros!$C:$Q,6,0)*F51/Indices!$Q$7+VLOOKUP(B51,Parámetros!$C:$Q,7,0)*G51/Indices!$R$7*Indices!$O$7/D51)*Parámetros!F55</f>
        <v>661.94327062360719</v>
      </c>
      <c r="J51" s="233">
        <f>+(VLOOKUP($B51,Parámetros!$C:$L,9,0)*F51/Indices!$Q$7+VLOOKUP($B51,Parámetros!$C:$L,10,0)*Indices!$O$7/D51*G51/Indices!$R$7)*Parámetros!J55</f>
        <v>88.917940401779504</v>
      </c>
      <c r="K51" s="233">
        <f>+(VLOOKUP(B51,Parámetros!$C:$O,12,0)*F51/Indices!$Q$7+VLOOKUP(B51,Parámetros!$C:$O,13,0)*Indices!$O$7/D51*G51/Indices!$R$7)*Parámetros!M55</f>
        <v>13.875659303533265</v>
      </c>
      <c r="L51" s="233">
        <f>+Parámetros!P55*Indices!$O$7/D51*G51/Indices!$R$7</f>
        <v>1.2647276620703172</v>
      </c>
      <c r="M51" s="290">
        <f>+ROUND(ROUND(((I51*VLOOKUP($B51,Parámetros!$C:$AL,33,0)+J51*VLOOKUP($B51,Parámetros!$C:$AL,34,0)+K51*VLOOKUP($B51,Parámetros!$C:$AL,35,0))*VLOOKUP($B51,Parámetros!$C:$AL,36,0)+L51)*(VLOOKUP($B51,Parámetros!$C:$AL,16,0))*(VLOOKUP($B51,Parámetros!$C:$AL,17,0)),Indices!$T$7)*D51,Indices!$U$7)</f>
        <v>8542.73</v>
      </c>
      <c r="N51" s="290">
        <f>+VLOOKUP($B51,Parámetros!$C:$AL,15,0)</f>
        <v>8568.64</v>
      </c>
      <c r="O51" s="291">
        <f t="shared" si="62"/>
        <v>-3.0238170818239762E-3</v>
      </c>
      <c r="P51" s="292" t="s">
        <v>56</v>
      </c>
      <c r="Q51" s="290">
        <f>(VLOOKUP(B51,Parámetros!$C:$AL,20,0)*E51/Indices!$P$7+VLOOKUP(B51,Parámetros!$C:$AL,21,0)*F51/Indices!$Q$7+VLOOKUP(B51,Parámetros!$C:$AL,22,0)*G51/Indices!$R$7*Indices!$O$7/D51)*Parámetros!U55</f>
        <v>635.31532253472903</v>
      </c>
      <c r="R51" s="290">
        <f>+(VLOOKUP(B51,Parámetros!$C:$AL,24,0)*F51/Indices!$Q$7+VLOOKUP(B51,Parámetros!$C:$AL,25,0)*Indices!$O$7/D51*G51/Indices!$R$7)*Parámetros!Y55</f>
        <v>83.72530270399696</v>
      </c>
      <c r="S51" s="290">
        <f>+(VLOOKUP(B51,Parámetros!$C:$AL,27,0)*F51/Indices!$Q$7+VLOOKUP(B51,Parámetros!$C:$AL,28,0)*Indices!$O$7/D51*G51/Indices!$R$7)*Parámetros!AB55</f>
        <v>8.9567258625242392</v>
      </c>
      <c r="T51" s="290">
        <f>Parámetros!AE55*Indices!$O$7/D51*G51/Indices!$R$7</f>
        <v>1.0887854218184392</v>
      </c>
      <c r="U51" s="290">
        <f>+ROUND(ROUND(((Q51*VLOOKUP($B51,Parámetros!$C:$AL,33,0)+R51*VLOOKUP($B51,Parámetros!$C:$AL,34,0)+S51*VLOOKUP($B51,Parámetros!$C:$AL,35,0))*VLOOKUP($B51,Parámetros!$C:$AL,36,0)+T51)*(VLOOKUP($B51,Parámetros!$C:$AL,31,0))*(VLOOKUP($B51,Parámetros!$C:$AL,32,0)),Indices!$T$7)*D51,Indices!$U$7)</f>
        <v>8013.58</v>
      </c>
      <c r="V51" s="233">
        <f>+VLOOKUP($B51,Parámetros!$C:$AL,30,0)</f>
        <v>8044.56</v>
      </c>
      <c r="W51" s="235">
        <f t="shared" si="63"/>
        <v>-3.8510496534304162E-3</v>
      </c>
    </row>
    <row r="52" spans="2:23" x14ac:dyDescent="0.2">
      <c r="B52" s="194">
        <v>45901</v>
      </c>
      <c r="C52" s="194" t="s">
        <v>141</v>
      </c>
      <c r="D52" s="227">
        <f>+VLOOKUP(DATE(YEAR(B52),MONTH(B52)-2,1),Indices!$B:$F,2,0)</f>
        <v>951.55</v>
      </c>
      <c r="E52" s="258">
        <f>+VLOOKUP(DATE(YEAR(B52),MONTH(B52)-7,1),Indices!$B:$F,4,0)</f>
        <v>274.964</v>
      </c>
      <c r="F52" s="258">
        <f>+VLOOKUP(DATE(YEAR(B52),MONTH(B52)-7,1),Indices!$B:$F,5,0)</f>
        <v>259.49799999999999</v>
      </c>
      <c r="G52" s="227">
        <f>+VLOOKUP(DATE(YEAR(B52),MONTH(B52)-2,1),Indices!$B:$F,3,0)</f>
        <v>144.16</v>
      </c>
      <c r="H52" s="232" t="s">
        <v>48</v>
      </c>
      <c r="I52" s="227">
        <f>(VLOOKUP(B52,Parámetros!$C:$Q,5,0)*E52/Indices!$P$7+VLOOKUP(B52,Parámetros!$C:$Q,6,0)*F52/Indices!$Q$7+VLOOKUP(B52,Parámetros!$C:$Q,7,0)*G52/Indices!$R$7*Indices!$O$7/D52)*Parámetros!F56</f>
        <v>665.49018059279911</v>
      </c>
      <c r="J52" s="227">
        <f>+(VLOOKUP($B52,Parámetros!$C:$L,9,0)*F52/Indices!$Q$7+VLOOKUP($B52,Parámetros!$C:$L,10,0)*Indices!$O$7/D52*G52/Indices!$R$7)*Parámetros!J56</f>
        <v>89.136618028567185</v>
      </c>
      <c r="K52" s="227">
        <f>+(VLOOKUP(B52,Parámetros!$C:$O,12,0)*F52/Indices!$Q$7+VLOOKUP(B52,Parámetros!$C:$O,13,0)*Indices!$O$7/D52*G52/Indices!$R$7)*Parámetros!M56</f>
        <v>13.830813534109851</v>
      </c>
      <c r="L52" s="227">
        <f>+Parámetros!P56*Indices!$O$7/D52*G52/Indices!$R$7</f>
        <v>1.2576764138857943</v>
      </c>
      <c r="M52" s="294">
        <f>+ROUND(ROUND(((I52*VLOOKUP($B52,Parámetros!$C:$AL,33,0)+J52*VLOOKUP($B52,Parámetros!$C:$AL,34,0)+K52*VLOOKUP($B52,Parámetros!$C:$AL,35,0))*VLOOKUP($B52,Parámetros!$C:$AL,36,0)+L52)*(VLOOKUP($B52,Parámetros!$C:$AL,16,0))*(VLOOKUP($B52,Parámetros!$C:$AL,17,0)),Indices!$T$7)*D52,Indices!$U$7)</f>
        <v>8694.2199999999993</v>
      </c>
      <c r="N52" s="294">
        <f>+VLOOKUP($B52,Parámetros!$C:$AL,15,0)</f>
        <v>8568.64</v>
      </c>
      <c r="O52" s="303">
        <f t="shared" si="62"/>
        <v>1.4655768009859127E-2</v>
      </c>
      <c r="P52" s="295" t="s">
        <v>56</v>
      </c>
      <c r="Q52" s="294">
        <f>(VLOOKUP(B52,Parámetros!$C:$AL,20,0)*E52/Indices!$P$7+VLOOKUP(B52,Parámetros!$C:$AL,21,0)*F52/Indices!$Q$7+VLOOKUP(B52,Parámetros!$C:$AL,22,0)*G52/Indices!$R$7*Indices!$O$7/D52)*Parámetros!U56</f>
        <v>638.75342203869059</v>
      </c>
      <c r="R52" s="294">
        <f>+(VLOOKUP(B52,Parámetros!$C:$AL,24,0)*F52/Indices!$Q$7+VLOOKUP(B52,Parámetros!$C:$AL,25,0)*Indices!$O$7/D52*G52/Indices!$R$7)*Parámetros!Y56</f>
        <v>84.036755752940024</v>
      </c>
      <c r="S52" s="294">
        <f>+(VLOOKUP(B52,Parámetros!$C:$AL,27,0)*F52/Indices!$Q$7+VLOOKUP(B52,Parámetros!$C:$AL,28,0)*Indices!$O$7/D52*G52/Indices!$R$7)*Parámetros!AB56</f>
        <v>8.9237789439001212</v>
      </c>
      <c r="T52" s="294">
        <f>Parámetros!AE56*Indices!$O$7/D52*G52/Indices!$R$7</f>
        <v>1.0827151060823503</v>
      </c>
      <c r="U52" s="294">
        <f>+ROUND(ROUND(((Q52*VLOOKUP($B52,Parámetros!$C:$AL,33,0)+R52*VLOOKUP($B52,Parámetros!$C:$AL,34,0)+S52*VLOOKUP($B52,Parámetros!$C:$AL,35,0))*VLOOKUP($B52,Parámetros!$C:$AL,36,0)+T52)*(VLOOKUP($B52,Parámetros!$C:$AL,31,0))*(VLOOKUP($B52,Parámetros!$C:$AL,32,0)),Indices!$T$7)*D52,Indices!$U$7)</f>
        <v>8158.4</v>
      </c>
      <c r="V52" s="227">
        <f>+VLOOKUP($B52,Parámetros!$C:$AL,30,0)</f>
        <v>8044.56</v>
      </c>
      <c r="W52" s="230">
        <f t="shared" si="63"/>
        <v>1.4151177938880322E-2</v>
      </c>
    </row>
    <row r="53" spans="2:23" x14ac:dyDescent="0.2">
      <c r="B53" s="38">
        <v>45931</v>
      </c>
      <c r="C53" s="38" t="s">
        <v>144</v>
      </c>
      <c r="D53" s="233">
        <f>+VLOOKUP(DATE(YEAR(B53),MONTH(B53)-2,1),Indices!$B:$F,2,0)</f>
        <v>966.30349999999999</v>
      </c>
      <c r="E53" s="228">
        <f>+VLOOKUP(DATE(YEAR(B53),MONTH(B53)-7,1),Indices!$B:$F,4,0)</f>
        <v>276.779</v>
      </c>
      <c r="F53" s="228">
        <f>+VLOOKUP(DATE(YEAR(B53),MONTH(B53)-7,1),Indices!$B:$F,5,0)</f>
        <v>258.52499999999998</v>
      </c>
      <c r="G53" s="233">
        <f>+VLOOKUP(DATE(YEAR(B53),MONTH(B53)-2,1),Indices!$B:$F,3,0)</f>
        <v>144.21</v>
      </c>
      <c r="H53" s="234" t="s">
        <v>48</v>
      </c>
      <c r="I53" s="233">
        <f>(VLOOKUP(B53,Parámetros!$C:$Q,5,0)*E53/Indices!$P$7+VLOOKUP(B53,Parámetros!$C:$Q,6,0)*F53/Indices!$Q$7+VLOOKUP(B53,Parámetros!$C:$Q,7,0)*G53/Indices!$R$7*Indices!$O$7/D53)*Parámetros!F57</f>
        <v>666.59496521535721</v>
      </c>
      <c r="J53" s="233">
        <f>+(VLOOKUP($B53,Parámetros!$C:$L,9,0)*F53/Indices!$Q$7+VLOOKUP($B53,Parámetros!$C:$L,10,0)*Indices!$O$7/D53*G53/Indices!$R$7)*Parámetros!J57</f>
        <v>88.386080565190952</v>
      </c>
      <c r="K53" s="233">
        <f>+(VLOOKUP(B53,Parámetros!$C:$O,12,0)*F53/Indices!$Q$7+VLOOKUP(B53,Parámetros!$C:$O,13,0)*Indices!$O$7/D53*G53/Indices!$R$7)*Parámetros!M57</f>
        <v>13.650764096037459</v>
      </c>
      <c r="L53" s="233">
        <f>+Parámetros!P57*Indices!$O$7/D53*G53/Indices!$R$7</f>
        <v>1.2389037873227315</v>
      </c>
      <c r="M53" s="290">
        <f>+ROUND(ROUND(((I53*VLOOKUP($B53,Parámetros!$C:$AL,33,0)+J53*VLOOKUP($B53,Parámetros!$C:$AL,34,0)+K53*VLOOKUP($B53,Parámetros!$C:$AL,35,0))*VLOOKUP($B53,Parámetros!$C:$AL,36,0)+L53)*(VLOOKUP($B53,Parámetros!$C:$AL,16,0))*(VLOOKUP($B53,Parámetros!$C:$AL,17,0)),Indices!$T$7)*D53,Indices!$U$7)</f>
        <v>8811.43</v>
      </c>
      <c r="N53" s="290">
        <v>8524.0400000000009</v>
      </c>
      <c r="O53" s="291">
        <f t="shared" si="62"/>
        <v>3.3715233621615992E-2</v>
      </c>
      <c r="P53" s="292" t="s">
        <v>56</v>
      </c>
      <c r="Q53" s="290">
        <f>(VLOOKUP(B53,Parámetros!$C:$AL,20,0)*E53/Indices!$P$7+VLOOKUP(B53,Parámetros!$C:$AL,21,0)*F53/Indices!$Q$7+VLOOKUP(B53,Parámetros!$C:$AL,22,0)*G53/Indices!$R$7*Indices!$O$7/D53)*Parámetros!U57</f>
        <v>639.86496859386034</v>
      </c>
      <c r="R53" s="290">
        <f>+(VLOOKUP(B53,Parámetros!$C:$AL,24,0)*F53/Indices!$Q$7+VLOOKUP(B53,Parámetros!$C:$AL,25,0)*Indices!$O$7/D53*G53/Indices!$R$7)*Parámetros!Y57</f>
        <v>83.414152849891707</v>
      </c>
      <c r="S53" s="290">
        <f>+(VLOOKUP(B53,Parámetros!$C:$AL,27,0)*F53/Indices!$Q$7+VLOOKUP(B53,Parámetros!$C:$AL,28,0)*Indices!$O$7/D53*G53/Indices!$R$7)*Parámetros!AB57</f>
        <v>8.8043705586639209</v>
      </c>
      <c r="T53" s="290">
        <f>Parámetros!AE57*Indices!$O$7/D53*G53/Indices!$R$7</f>
        <v>1.0665540282913848</v>
      </c>
      <c r="U53" s="290">
        <f>+ROUND(ROUND(((Q53*VLOOKUP($B53,Parámetros!$C:$AL,33,0)+R53*VLOOKUP($B53,Parámetros!$C:$AL,34,0)+S53*VLOOKUP($B53,Parámetros!$C:$AL,35,0))*VLOOKUP($B53,Parámetros!$C:$AL,36,0)+T53)*(VLOOKUP($B53,Parámetros!$C:$AL,31,0))*(VLOOKUP($B53,Parámetros!$C:$AL,32,0)),Indices!$T$7)*D53,Indices!$U$7)</f>
        <v>8271.85</v>
      </c>
      <c r="V53" s="233">
        <v>7993.88</v>
      </c>
      <c r="W53" s="235">
        <f t="shared" si="63"/>
        <v>3.4772851231192003E-2</v>
      </c>
    </row>
    <row r="54" spans="2:23" x14ac:dyDescent="0.2">
      <c r="B54" s="194">
        <v>45962</v>
      </c>
      <c r="C54" s="194" t="s">
        <v>144</v>
      </c>
      <c r="D54" s="227">
        <f>+VLOOKUP(DATE(YEAR(B54),MONTH(B54)-2,1),Indices!$B:$F,2,0)</f>
        <v>960.37</v>
      </c>
      <c r="E54" s="258">
        <f>+VLOOKUP(DATE(YEAR(B54),MONTH(B54)-7,1),Indices!$B:$F,4,0)</f>
        <v>276.95299999999997</v>
      </c>
      <c r="F54" s="258">
        <f>+VLOOKUP(DATE(YEAR(B54),MONTH(B54)-7,1),Indices!$B:$F,5,0)</f>
        <v>258.392</v>
      </c>
      <c r="G54" s="227">
        <f>+VLOOKUP(DATE(YEAR(B54),MONTH(B54)-2,1),Indices!$B:$F,3,0)</f>
        <v>144.85</v>
      </c>
      <c r="H54" s="232" t="s">
        <v>48</v>
      </c>
      <c r="I54" s="227">
        <f>(VLOOKUP(B54,Parámetros!$C:$Q,5,0)*E54/Indices!$P$7+VLOOKUP(B54,Parámetros!$C:$Q,6,0)*F54/Indices!$Q$7+VLOOKUP(B54,Parámetros!$C:$Q,7,0)*G54/Indices!$R$7*Indices!$O$7/D54)*Parámetros!F58</f>
        <v>668.27396370856161</v>
      </c>
      <c r="J54" s="227">
        <f>+(VLOOKUP($B54,Parámetros!$C:$L,9,0)*F54/Indices!$Q$7+VLOOKUP($B54,Parámetros!$C:$L,10,0)*Indices!$O$7/D54*G54/Indices!$R$7)*Parámetros!J58</f>
        <v>88.750025274558553</v>
      </c>
      <c r="K54" s="227">
        <f>+(VLOOKUP(B54,Parámetros!$C:$O,12,0)*F54/Indices!$Q$7+VLOOKUP(B54,Parámetros!$C:$O,13,0)*Indices!$O$7/D54*G54/Indices!$R$7)*Parámetros!M58</f>
        <v>13.769806908013239</v>
      </c>
      <c r="L54" s="227">
        <f>+Parámetros!P58*Indices!$O$7/D54*G54/Indices!$R$7</f>
        <v>1.2520903567078934</v>
      </c>
      <c r="M54" s="294">
        <f>+ROUND(ROUND(((I54*VLOOKUP($B54,Parámetros!$C:$AL,33,0)+J54*VLOOKUP($B54,Parámetros!$C:$AL,34,0)+K54*VLOOKUP($B54,Parámetros!$C:$AL,35,0))*VLOOKUP($B54,Parámetros!$C:$AL,36,0)+L54)*(VLOOKUP($B54,Parámetros!$C:$AL,16,0))*(VLOOKUP($B54,Parámetros!$C:$AL,17,0)),Indices!$T$7)*D54,Indices!$U$7)</f>
        <v>8792.09</v>
      </c>
      <c r="N54" s="294">
        <v>8524.0400000000009</v>
      </c>
      <c r="O54" s="303">
        <f t="shared" si="62"/>
        <v>3.1446356422541344E-2</v>
      </c>
      <c r="P54" s="295" t="s">
        <v>56</v>
      </c>
      <c r="Q54" s="294">
        <f>(VLOOKUP(B54,Parámetros!$C:$AL,20,0)*E54/Indices!$P$7+VLOOKUP(B54,Parámetros!$C:$AL,21,0)*F54/Indices!$Q$7+VLOOKUP(B54,Parámetros!$C:$AL,22,0)*G54/Indices!$R$7*Indices!$O$7/D54)*Parámetros!U58</f>
        <v>641.45198903229902</v>
      </c>
      <c r="R54" s="294">
        <f>+(VLOOKUP(B54,Parámetros!$C:$AL,24,0)*F54/Indices!$Q$7+VLOOKUP(B54,Parámetros!$C:$AL,25,0)*Indices!$O$7/D54*G54/Indices!$R$7)*Parámetros!Y58</f>
        <v>83.673646458407333</v>
      </c>
      <c r="S54" s="294">
        <f>+(VLOOKUP(B54,Parámetros!$C:$AL,27,0)*F54/Indices!$Q$7+VLOOKUP(B54,Parámetros!$C:$AL,28,0)*Indices!$O$7/D54*G54/Indices!$R$7)*Parámetros!AB58</f>
        <v>8.8843648483456157</v>
      </c>
      <c r="T54" s="294">
        <f>Parámetros!AE58*Indices!$O$7/D54*G54/Indices!$R$7</f>
        <v>1.077906151709686</v>
      </c>
      <c r="U54" s="294">
        <f>+ROUND(ROUND(((Q54*VLOOKUP($B54,Parámetros!$C:$AL,33,0)+R54*VLOOKUP($B54,Parámetros!$C:$AL,34,0)+S54*VLOOKUP($B54,Parámetros!$C:$AL,35,0))*VLOOKUP($B54,Parámetros!$C:$AL,36,0)+T54)*(VLOOKUP($B54,Parámetros!$C:$AL,31,0))*(VLOOKUP($B54,Parámetros!$C:$AL,32,0)),Indices!$T$7)*D54,Indices!$U$7)</f>
        <v>8251.69</v>
      </c>
      <c r="V54" s="227">
        <v>7993.88</v>
      </c>
      <c r="W54" s="230">
        <f t="shared" si="63"/>
        <v>3.2250921955295775E-2</v>
      </c>
    </row>
    <row r="55" spans="2:23" x14ac:dyDescent="0.2">
      <c r="B55" s="38">
        <v>45992</v>
      </c>
      <c r="C55" s="38" t="s">
        <v>144</v>
      </c>
      <c r="D55" s="233">
        <f>+VLOOKUP(DATE(YEAR(B55),MONTH(B55)-2,1),Indices!$B:$F,2,0)</f>
        <v>953.97</v>
      </c>
      <c r="E55" s="228">
        <f>+VLOOKUP(DATE(YEAR(B55),MONTH(B55)-7,1),Indices!$B:$F,4,0)</f>
        <v>277.80099999999999</v>
      </c>
      <c r="F55" s="228">
        <f>+VLOOKUP(DATE(YEAR(B55),MONTH(B55)-7,1),Indices!$B:$F,5,0)</f>
        <v>258.678</v>
      </c>
      <c r="G55" s="233">
        <f>+VLOOKUP(DATE(YEAR(B55),MONTH(B55)-2,1),Indices!$B:$F,3,0)</f>
        <v>144.91999999999999</v>
      </c>
      <c r="H55" s="234" t="s">
        <v>48</v>
      </c>
      <c r="I55" s="233">
        <f>(VLOOKUP(B55,Parámetros!$C:$Q,5,0)*E55/Indices!$P$7+VLOOKUP(B55,Parámetros!$C:$Q,6,0)*F55/Indices!$Q$7+VLOOKUP(B55,Parámetros!$C:$Q,7,0)*G55/Indices!$R$7*Indices!$O$7/D55)*Parámetros!F59</f>
        <v>670.78390610633153</v>
      </c>
      <c r="J55" s="233">
        <f>+(VLOOKUP($B55,Parámetros!$C:$L,9,0)*F55/Indices!$Q$7+VLOOKUP($B55,Parámetros!$C:$L,10,0)*Indices!$O$7/D55*G55/Indices!$R$7)*Parámetros!J59</f>
        <v>89.074032899708953</v>
      </c>
      <c r="K55" s="233">
        <f>+(VLOOKUP(B55,Parámetros!$C:$O,12,0)*F55/Indices!$Q$7+VLOOKUP(B55,Parámetros!$C:$O,13,0)*Indices!$O$7/D55*G55/Indices!$R$7)*Parámetros!M59</f>
        <v>13.854567680903589</v>
      </c>
      <c r="L55" s="233">
        <f>+Parámetros!P59*Indices!$O$7/D55*G55/Indices!$R$7</f>
        <v>1.2610995312009983</v>
      </c>
      <c r="M55" s="290">
        <f>+ROUND(ROUND(((I55*VLOOKUP($B55,Parámetros!$C:$AL,33,0)+J55*VLOOKUP($B55,Parámetros!$C:$AL,34,0)+K55*VLOOKUP($B55,Parámetros!$C:$AL,35,0))*VLOOKUP($B55,Parámetros!$C:$AL,36,0)+L55)*(VLOOKUP($B55,Parámetros!$C:$AL,16,0))*(VLOOKUP($B55,Parámetros!$C:$AL,17,0)),Indices!$T$7)*D55,Indices!$U$7)</f>
        <v>8770.99</v>
      </c>
      <c r="N55" s="290">
        <v>8524.0400000000009</v>
      </c>
      <c r="O55" s="291">
        <f t="shared" si="62"/>
        <v>2.8971004359435115E-2</v>
      </c>
      <c r="P55" s="292" t="s">
        <v>56</v>
      </c>
      <c r="Q55" s="290">
        <f>(VLOOKUP(B55,Parámetros!$C:$AL,20,0)*E55/Indices!$P$7+VLOOKUP(B55,Parámetros!$C:$AL,21,0)*F55/Indices!$Q$7+VLOOKUP(B55,Parámetros!$C:$AL,22,0)*G55/Indices!$R$7*Indices!$O$7/D55)*Parámetros!U59</f>
        <v>643.85065249847742</v>
      </c>
      <c r="R55" s="290">
        <f>+(VLOOKUP(B55,Parámetros!$C:$AL,24,0)*F55/Indices!$Q$7+VLOOKUP(B55,Parámetros!$C:$AL,25,0)*Indices!$O$7/D55*G55/Indices!$R$7)*Parámetros!Y59</f>
        <v>83.933024486644797</v>
      </c>
      <c r="S55" s="290">
        <f>+(VLOOKUP(B55,Parámetros!$C:$AL,27,0)*F55/Indices!$Q$7+VLOOKUP(B55,Parámetros!$C:$AL,28,0)*Indices!$O$7/D55*G55/Indices!$R$7)*Parámetros!AB59</f>
        <v>8.9408096851730043</v>
      </c>
      <c r="T55" s="290">
        <f>Parámetros!AE59*Indices!$O$7/D55*G55/Indices!$R$7</f>
        <v>1.085662017375385</v>
      </c>
      <c r="U55" s="290">
        <f>+ROUND(ROUND(((Q55*VLOOKUP($B55,Parámetros!$C:$AL,33,0)+R55*VLOOKUP($B55,Parámetros!$C:$AL,34,0)+S55*VLOOKUP($B55,Parámetros!$C:$AL,35,0))*VLOOKUP($B55,Parámetros!$C:$AL,36,0)+T55)*(VLOOKUP($B55,Parámetros!$C:$AL,31,0))*(VLOOKUP($B55,Parámetros!$C:$AL,32,0)),Indices!$T$7)*D55,Indices!$U$7)</f>
        <v>8230.9500000000007</v>
      </c>
      <c r="V55" s="233">
        <v>7993.88</v>
      </c>
      <c r="W55" s="235">
        <f t="shared" si="63"/>
        <v>2.9656437174438555E-2</v>
      </c>
    </row>
    <row r="56" spans="2:23" x14ac:dyDescent="0.2">
      <c r="B56" s="194">
        <v>46023</v>
      </c>
      <c r="C56" s="194" t="s">
        <v>144</v>
      </c>
      <c r="D56" s="227">
        <f>+VLOOKUP(DATE(YEAR(B56),MONTH(B56)-2,1),Indices!$B:$F,2,0)</f>
        <v>935.7</v>
      </c>
      <c r="E56" s="258">
        <f>+VLOOKUP(DATE(YEAR(B56),MONTH(B56)-7,1),Indices!$B:$F,4,0)</f>
        <v>275.66199999999998</v>
      </c>
      <c r="F56" s="258">
        <f>+VLOOKUP(DATE(YEAR(B56),MONTH(B56)-7,1),Indices!$B:$F,5,0)</f>
        <v>260.48200000000003</v>
      </c>
      <c r="G56" s="227">
        <f>+VLOOKUP(DATE(YEAR(B56),MONTH(B56)-2,1),Indices!$B:$F,3,0)</f>
        <v>145.29</v>
      </c>
      <c r="H56" s="232" t="s">
        <v>48</v>
      </c>
      <c r="I56" s="227">
        <f>(VLOOKUP(B56,Parámetros!$C:$Q,5,0)*E56/Indices!$P$7+VLOOKUP(B56,Parámetros!$C:$Q,6,0)*F56/Indices!$Q$7+VLOOKUP(B56,Parámetros!$C:$Q,7,0)*G56/Indices!$R$7*Indices!$O$7/D56)*Parámetros!F60</f>
        <v>670.19767939133294</v>
      </c>
      <c r="J56" s="227">
        <f>+(VLOOKUP($B56,Parámetros!$C:$L,9,0)*F56/Indices!$Q$7+VLOOKUP($B56,Parámetros!$C:$L,10,0)*Indices!$O$7/D56*G56/Indices!$R$7)*Parámetros!J60</f>
        <v>90.261239611593879</v>
      </c>
      <c r="K56" s="227">
        <f>+(VLOOKUP(B56,Parámetros!$C:$O,12,0)*F56/Indices!$Q$7+VLOOKUP(B56,Parámetros!$C:$O,13,0)*Indices!$O$7/D56*G56/Indices!$R$7)*Parámetros!M60</f>
        <v>14.125472241972737</v>
      </c>
      <c r="L56" s="227">
        <f>+Parámetros!P60*Indices!$O$7/D56*G56/Indices!$R$7</f>
        <v>1.2890057379600024</v>
      </c>
      <c r="M56" s="294">
        <f>+ROUND(ROUND(((I56*VLOOKUP($B56,Parámetros!$C:$AL,33,0)+J56*VLOOKUP($B56,Parámetros!$C:$AL,34,0)+K56*VLOOKUP($B56,Parámetros!$C:$AL,35,0))*VLOOKUP($B56,Parámetros!$C:$AL,36,0)+L56)*(VLOOKUP($B56,Parámetros!$C:$AL,16,0))*(VLOOKUP($B56,Parámetros!$C:$AL,17,0)),Indices!$T$7)*D56,Indices!$U$7)</f>
        <v>8639.2199999999993</v>
      </c>
      <c r="N56" s="294">
        <v>8524.0400000000009</v>
      </c>
      <c r="O56" s="303">
        <f t="shared" si="62"/>
        <v>1.3512372067704836E-2</v>
      </c>
      <c r="P56" s="295" t="s">
        <v>56</v>
      </c>
      <c r="Q56" s="294">
        <f>(VLOOKUP(B56,Parámetros!$C:$AL,20,0)*E56/Indices!$P$7+VLOOKUP(B56,Parámetros!$C:$AL,21,0)*F56/Indices!$Q$7+VLOOKUP(B56,Parámetros!$C:$AL,22,0)*G56/Indices!$R$7*Indices!$O$7/D56)*Parámetros!U60</f>
        <v>643.21683688331848</v>
      </c>
      <c r="R56" s="294">
        <f>+(VLOOKUP(B56,Parámetros!$C:$AL,24,0)*F56/Indices!$Q$7+VLOOKUP(B56,Parámetros!$C:$AL,25,0)*Indices!$O$7/D56*G56/Indices!$R$7)*Parámetros!Y60</f>
        <v>84.936439802746818</v>
      </c>
      <c r="S56" s="294">
        <f>+(VLOOKUP(B56,Parámetros!$C:$AL,27,0)*F56/Indices!$Q$7+VLOOKUP(B56,Parámetros!$C:$AL,28,0)*Indices!$O$7/D56*G56/Indices!$R$7)*Parámetros!AB60</f>
        <v>9.1200151349666445</v>
      </c>
      <c r="T56" s="294">
        <f>Parámetros!AE60*Indices!$O$7/D56*G56/Indices!$R$7</f>
        <v>1.1096860598698122</v>
      </c>
      <c r="U56" s="294">
        <f>+ROUND(ROUND(((Q56*VLOOKUP($B56,Parámetros!$C:$AL,33,0)+R56*VLOOKUP($B56,Parámetros!$C:$AL,34,0)+S56*VLOOKUP($B56,Parámetros!$C:$AL,35,0))*VLOOKUP($B56,Parámetros!$C:$AL,36,0)+T56)*(VLOOKUP($B56,Parámetros!$C:$AL,31,0))*(VLOOKUP($B56,Parámetros!$C:$AL,32,0)),Indices!$T$7)*D56,Indices!$U$7)</f>
        <v>8102.6</v>
      </c>
      <c r="V56" s="227">
        <v>7993.88</v>
      </c>
      <c r="W56" s="230">
        <f t="shared" si="63"/>
        <v>1.3600404309296543E-2</v>
      </c>
    </row>
    <row r="57" spans="2:23" x14ac:dyDescent="0.2">
      <c r="B57" s="38">
        <v>46054</v>
      </c>
      <c r="C57" s="38" t="s">
        <v>144</v>
      </c>
      <c r="D57" s="233">
        <f>+VLOOKUP(DATE(YEAR(B57),MONTH(B57)-2,1),Indices!$B:$F,2,0)</f>
        <v>916.16</v>
      </c>
      <c r="E57" s="228">
        <f>+VLOOKUP(DATE(YEAR(B57),MONTH(B57)-7,1),Indices!$B:$F,4,0)</f>
        <v>275.88</v>
      </c>
      <c r="F57" s="228">
        <f>+VLOOKUP(DATE(YEAR(B57),MONTH(B57)-7,1),Indices!$B:$F,5,0)</f>
        <v>262.358</v>
      </c>
      <c r="G57" s="233">
        <f>+VLOOKUP(DATE(YEAR(B57),MONTH(B57)-2,1),Indices!$B:$F,3,0)</f>
        <v>145.01</v>
      </c>
      <c r="H57" s="234" t="s">
        <v>48</v>
      </c>
      <c r="I57" s="233">
        <f>(VLOOKUP(B57,Parámetros!$C:$Q,5,0)*E57/Indices!$P$7+VLOOKUP(B57,Parámetros!$C:$Q,6,0)*F57/Indices!$Q$7+VLOOKUP(B57,Parámetros!$C:$Q,7,0)*G57/Indices!$R$7*Indices!$O$7/D57)*Parámetros!F61</f>
        <v>673.52056677283906</v>
      </c>
      <c r="J57" s="233">
        <f>+(VLOOKUP($B57,Parámetros!$C:$L,9,0)*F57/Indices!$Q$7+VLOOKUP($B57,Parámetros!$C:$L,10,0)*Indices!$O$7/D57*G57/Indices!$R$7)*Parámetros!J61</f>
        <v>91.375438565217777</v>
      </c>
      <c r="K57" s="233">
        <f>+(VLOOKUP(B57,Parámetros!$C:$O,12,0)*F57/Indices!$Q$7+VLOOKUP(B57,Parámetros!$C:$O,13,0)*Indices!$O$7/D57*G57/Indices!$R$7)*Parámetros!M61</f>
        <v>14.370118742165538</v>
      </c>
      <c r="L57" s="233">
        <f>+Parámetros!P61*Indices!$O$7/D57*G57/Indices!$R$7</f>
        <v>1.313960720153845</v>
      </c>
      <c r="M57" s="290">
        <f>+ROUND(ROUND(((I57*VLOOKUP($B57,Parámetros!$C:$AL,33,0)+J57*VLOOKUP($B57,Parámetros!$C:$AL,34,0)+K57*VLOOKUP($B57,Parámetros!$C:$AL,35,0))*VLOOKUP($B57,Parámetros!$C:$AL,36,0)+L57)*(VLOOKUP($B57,Parámetros!$C:$AL,16,0))*(VLOOKUP($B57,Parámetros!$C:$AL,17,0)),Indices!$T$7)*D57,Indices!$U$7)</f>
        <v>8526.7900000000009</v>
      </c>
      <c r="N57" s="290">
        <v>8524.0400000000009</v>
      </c>
      <c r="O57" s="291">
        <f t="shared" si="62"/>
        <v>3.2261697504942788E-4</v>
      </c>
      <c r="P57" s="292" t="s">
        <v>56</v>
      </c>
      <c r="Q57" s="290">
        <f>(VLOOKUP(B57,Parámetros!$C:$AL,20,0)*E57/Indices!$P$7+VLOOKUP(B57,Parámetros!$C:$AL,21,0)*F57/Indices!$Q$7+VLOOKUP(B57,Parámetros!$C:$AL,22,0)*G57/Indices!$R$7*Indices!$O$7/D57)*Parámetros!U61</f>
        <v>646.36044777286872</v>
      </c>
      <c r="R57" s="290">
        <f>+(VLOOKUP(B57,Parámetros!$C:$AL,24,0)*F57/Indices!$Q$7+VLOOKUP(B57,Parámetros!$C:$AL,25,0)*Indices!$O$7/D57*G57/Indices!$R$7)*Parámetros!Y61</f>
        <v>85.890978531560009</v>
      </c>
      <c r="S57" s="290">
        <f>+(VLOOKUP(B57,Parámetros!$C:$AL,27,0)*F57/Indices!$Q$7+VLOOKUP(B57,Parámetros!$C:$AL,28,0)*Indices!$O$7/D57*G57/Indices!$R$7)*Parámetros!AB61</f>
        <v>9.2815182657954853</v>
      </c>
      <c r="T57" s="290">
        <f>Parámetros!AE61*Indices!$O$7/D57*G57/Indices!$R$7</f>
        <v>1.1311694365913409</v>
      </c>
      <c r="U57" s="290">
        <f>+ROUND(ROUND(((Q57*VLOOKUP($B57,Parámetros!$C:$AL,33,0)+R57*VLOOKUP($B57,Parámetros!$C:$AL,34,0)+S57*VLOOKUP($B57,Parámetros!$C:$AL,35,0))*VLOOKUP($B57,Parámetros!$C:$AL,36,0)+T57)*(VLOOKUP($B57,Parámetros!$C:$AL,31,0))*(VLOOKUP($B57,Parámetros!$C:$AL,32,0)),Indices!$T$7)*D57,Indices!$U$7)</f>
        <v>7994.05</v>
      </c>
      <c r="V57" s="233">
        <v>7993.88</v>
      </c>
      <c r="W57" s="235">
        <f t="shared" si="63"/>
        <v>2.1266268695585566E-5</v>
      </c>
    </row>
    <row r="58" spans="2:23" x14ac:dyDescent="0.2">
      <c r="B58" s="194">
        <v>46082</v>
      </c>
      <c r="C58" s="194" t="s">
        <v>144</v>
      </c>
      <c r="D58" s="227">
        <f>+VLOOKUP(DATE(YEAR(B58),MONTH(B58)-2,1),Indices!$B:$F,2,0)</f>
        <v>883.97</v>
      </c>
      <c r="E58" s="258">
        <f>+VLOOKUP(DATE(YEAR(B58),MONTH(B58)-7,1),Indices!$B:$F,4,0)</f>
        <v>275.13</v>
      </c>
      <c r="F58" s="258">
        <f>+VLOOKUP(DATE(YEAR(B58),MONTH(B58)-7,1),Indices!$B:$F,5,0)</f>
        <v>262.11</v>
      </c>
      <c r="G58" s="227">
        <f>+VLOOKUP(DATE(YEAR(B58),MONTH(B58)-2,1),Indices!$B:$F,3,0)</f>
        <v>145.61000000000001</v>
      </c>
      <c r="H58" s="232" t="s">
        <v>48</v>
      </c>
      <c r="I58" s="227">
        <f>(VLOOKUP(B58,Parámetros!$C:$Q,5,0)*E58/Indices!$P$7+VLOOKUP(B58,Parámetros!$C:$Q,6,0)*F58/Indices!$Q$7+VLOOKUP(B58,Parámetros!$C:$Q,7,0)*G58/Indices!$R$7*Indices!$O$7/D58)*Parámetros!F62</f>
        <v>677.77824679809248</v>
      </c>
      <c r="J58" s="227">
        <f>+(VLOOKUP($B58,Parámetros!$C:$L,9,0)*F58/Indices!$Q$7+VLOOKUP($B58,Parámetros!$C:$L,10,0)*Indices!$O$7/D58*G58/Indices!$R$7)*Parámetros!J62</f>
        <v>92.909821873473646</v>
      </c>
      <c r="K58" s="227">
        <f>+(VLOOKUP(B58,Parámetros!$C:$O,12,0)*F58/Indices!$Q$7+VLOOKUP(B58,Parámetros!$C:$O,13,0)*Indices!$O$7/D58*G58/Indices!$R$7)*Parámetros!M62</f>
        <v>14.855592177355517</v>
      </c>
      <c r="L58" s="227">
        <f>+Parámetros!P62*Indices!$O$7/D58*G58/Indices!$R$7</f>
        <v>1.3674436281981839</v>
      </c>
      <c r="M58" s="294">
        <f>+ROUND(ROUND(((I58*VLOOKUP($B58,Parámetros!$C:$AL,33,0)+J58*VLOOKUP($B58,Parámetros!$C:$AL,34,0)+K58*VLOOKUP($B58,Parámetros!$C:$AL,35,0))*VLOOKUP($B58,Parámetros!$C:$AL,36,0)+L58)*(VLOOKUP($B58,Parámetros!$C:$AL,16,0))*(VLOOKUP($B58,Parámetros!$C:$AL,17,0)),Indices!$T$7)*D58,Indices!$U$7)</f>
        <v>8334.6</v>
      </c>
      <c r="N58" s="294">
        <v>8524.0400000000009</v>
      </c>
      <c r="O58" s="303">
        <f t="shared" ref="O58" si="64">+M58/N58-1</f>
        <v>-2.2224203546675092E-2</v>
      </c>
      <c r="P58" s="295" t="s">
        <v>56</v>
      </c>
      <c r="Q58" s="294">
        <f>(VLOOKUP(B58,Parámetros!$C:$AL,20,0)*E58/Indices!$P$7+VLOOKUP(B58,Parámetros!$C:$AL,21,0)*F58/Indices!$Q$7+VLOOKUP(B58,Parámetros!$C:$AL,22,0)*G58/Indices!$R$7*Indices!$O$7/D58)*Parámetros!U62</f>
        <v>650.33576581798059</v>
      </c>
      <c r="R58" s="294">
        <f>+(VLOOKUP(B58,Parámetros!$C:$AL,24,0)*F58/Indices!$Q$7+VLOOKUP(B58,Parámetros!$C:$AL,25,0)*Indices!$O$7/D58*G58/Indices!$R$7)*Parámetros!Y62</f>
        <v>87.00692860946431</v>
      </c>
      <c r="S58" s="294">
        <f>+(VLOOKUP(B58,Parámetros!$C:$AL,27,0)*F58/Indices!$Q$7+VLOOKUP(B58,Parámetros!$C:$AL,28,0)*Indices!$O$7/D58*G58/Indices!$R$7)*Parámetros!AB62</f>
        <v>9.6073498804237421</v>
      </c>
      <c r="T58" s="294">
        <f>Parámetros!AE62*Indices!$O$7/D58*G58/Indices!$R$7</f>
        <v>1.1772120846186713</v>
      </c>
      <c r="U58" s="294">
        <f>+ROUND(ROUND(((Q58*VLOOKUP($B58,Parámetros!$C:$AL,33,0)+R58*VLOOKUP($B58,Parámetros!$C:$AL,34,0)+S58*VLOOKUP($B58,Parámetros!$C:$AL,35,0))*VLOOKUP($B58,Parámetros!$C:$AL,36,0)+T58)*(VLOOKUP($B58,Parámetros!$C:$AL,31,0))*(VLOOKUP($B58,Parámetros!$C:$AL,32,0)),Indices!$T$7)*D58,Indices!$U$7)</f>
        <v>7805.9</v>
      </c>
      <c r="V58" s="227">
        <v>7993.88</v>
      </c>
      <c r="W58" s="230">
        <f t="shared" ref="W58" si="65">+U58/V58-1</f>
        <v>-2.3515489349352325E-2</v>
      </c>
    </row>
    <row r="59" spans="2:23" x14ac:dyDescent="0.2">
      <c r="B59" s="38">
        <v>46113</v>
      </c>
      <c r="C59" s="38" t="s">
        <v>144</v>
      </c>
      <c r="D59" s="233">
        <f>+VLOOKUP(DATE(YEAR(B59),MONTH(B59)-2,1),Indices!$B:$F,2,0)</f>
        <v>862.02</v>
      </c>
      <c r="E59" s="228">
        <f>+VLOOKUP(DATE(YEAR(B59),MONTH(B59)-7,1),Indices!$B:$F,4,0)</f>
        <v>279.5</v>
      </c>
      <c r="F59" s="228">
        <f>+VLOOKUP(DATE(YEAR(B59),MONTH(B59)-7,1),Indices!$B:$F,5,0)</f>
        <v>262.05399999999997</v>
      </c>
      <c r="G59" s="233">
        <f>+VLOOKUP(DATE(YEAR(B59),MONTH(B59)-2,1),Indices!$B:$F,3,0)</f>
        <v>145.59</v>
      </c>
      <c r="H59" s="234" t="s">
        <v>48</v>
      </c>
      <c r="I59" s="233">
        <f>(VLOOKUP(B59,Parámetros!$C:$Q,5,0)*E59/Indices!$P$7+VLOOKUP(B59,Parámetros!$C:$Q,6,0)*F59/Indices!$Q$7+VLOOKUP(B59,Parámetros!$C:$Q,7,0)*G59/Indices!$R$7*Indices!$O$7/D59)*Parámetros!F63</f>
        <v>689.22161330615768</v>
      </c>
      <c r="J59" s="233">
        <f>+(VLOOKUP($B59,Parámetros!$C:$L,9,0)*F59/Indices!$Q$7+VLOOKUP($B59,Parámetros!$C:$L,10,0)*Indices!$O$7/D59*G59/Indices!$R$7)*Parámetros!J63</f>
        <v>93.924158993204543</v>
      </c>
      <c r="K59" s="233">
        <f>+(VLOOKUP(B59,Parámetros!$C:$O,12,0)*F59/Indices!$Q$7+VLOOKUP(B59,Parámetros!$C:$O,13,0)*Indices!$O$7/D59*G59/Indices!$R$7)*Parámetros!M63</f>
        <v>15.170860969896959</v>
      </c>
      <c r="L59" s="233">
        <f>+Parámetros!P63*Indices!$O$7/D59*G59/Indices!$R$7</f>
        <v>1.4020708502474131</v>
      </c>
      <c r="M59" s="290">
        <f>+ROUND(ROUND(((I59*VLOOKUP($B59,Parámetros!$C:$AL,33,0)+J59*VLOOKUP($B59,Parámetros!$C:$AL,34,0)+K59*VLOOKUP($B59,Parámetros!$C:$AL,35,0))*VLOOKUP($B59,Parámetros!$C:$AL,36,0)+L59)*(VLOOKUP($B59,Parámetros!$C:$AL,16,0))*(VLOOKUP($B59,Parámetros!$C:$AL,17,0)),Indices!$T$7)*D59,Indices!$U$7)</f>
        <v>8271.86</v>
      </c>
      <c r="N59" s="290">
        <v>8524.0400000000009</v>
      </c>
      <c r="O59" s="291">
        <f t="shared" ref="O59" si="66">+M59/N59-1</f>
        <v>-2.9584563188347346E-2</v>
      </c>
      <c r="P59" s="292" t="s">
        <v>56</v>
      </c>
      <c r="Q59" s="290">
        <f>(VLOOKUP(B59,Parámetros!$C:$AL,20,0)*E59/Indices!$P$7+VLOOKUP(B59,Parámetros!$C:$AL,21,0)*F59/Indices!$Q$7+VLOOKUP(B59,Parámetros!$C:$AL,22,0)*G59/Indices!$R$7*Indices!$O$7/D59)*Parámetros!U63</f>
        <v>661.28761520354055</v>
      </c>
      <c r="R59" s="290">
        <f>+(VLOOKUP(B59,Parámetros!$C:$AL,24,0)*F59/Indices!$Q$7+VLOOKUP(B59,Parámetros!$C:$AL,25,0)*Indices!$O$7/D59*G59/Indices!$R$7)*Parámetros!Y63</f>
        <v>87.75222132792122</v>
      </c>
      <c r="S59" s="290">
        <f>+(VLOOKUP(B59,Parámetros!$C:$AL,27,0)*F59/Indices!$Q$7+VLOOKUP(B59,Parámetros!$C:$AL,28,0)*Indices!$O$7/D59*G59/Indices!$R$7)*Parámetros!AB63</f>
        <v>9.8188050437146046</v>
      </c>
      <c r="T59" s="290">
        <f>Parámetros!AE63*Indices!$O$7/D59*G59/Indices!$R$7</f>
        <v>1.2070221502129943</v>
      </c>
      <c r="U59" s="290">
        <f>+ROUND(ROUND(((Q59*VLOOKUP($B59,Parámetros!$C:$AL,33,0)+R59*VLOOKUP($B59,Parámetros!$C:$AL,34,0)+S59*VLOOKUP($B59,Parámetros!$C:$AL,35,0))*VLOOKUP($B59,Parámetros!$C:$AL,36,0)+T59)*(VLOOKUP($B59,Parámetros!$C:$AL,31,0))*(VLOOKUP($B59,Parámetros!$C:$AL,32,0)),Indices!$T$7)*D59,Indices!$U$7)</f>
        <v>7744.3</v>
      </c>
      <c r="V59" s="233">
        <v>7993.88</v>
      </c>
      <c r="W59" s="235">
        <f t="shared" ref="W59" si="67">+U59/V59-1</f>
        <v>-3.1221384359034654E-2</v>
      </c>
    </row>
    <row r="61" spans="2:23" x14ac:dyDescent="0.2">
      <c r="B61" s="2">
        <v>46143</v>
      </c>
      <c r="C61" s="2" t="s">
        <v>145</v>
      </c>
      <c r="D61" s="253">
        <f>+VLOOKUP(DATE(YEAR(B61),MONTH(B61)-2,1),Indices!$B:$F,2,0)</f>
        <v>909.89</v>
      </c>
      <c r="E61" s="229">
        <f>+VLOOKUP(DATE(YEAR(B61),MONTH(B61)-7,1),Indices!$B:$F,4,0)</f>
        <v>280.32299999999998</v>
      </c>
      <c r="F61" s="229">
        <f>+VLOOKUP(DATE(YEAR(B61),MONTH(B61)-7,1),Indices!$B:$F,5,0)</f>
        <v>260.59100000000001</v>
      </c>
      <c r="G61" s="253">
        <f>+VLOOKUP(DATE(YEAR(B61),MONTH(B61)-2,1),Indices!$B:$F,3,0)</f>
        <v>110.75</v>
      </c>
      <c r="H61" s="325" t="s">
        <v>48</v>
      </c>
      <c r="I61" s="253">
        <f>(VLOOKUP(B61,Parámetros!$C:$Q,5,0)*E61/Indices!$P$8+VLOOKUP(B61,Parámetros!$C:$Q,6,0)*F61/Indices!$Q$8+VLOOKUP(B61,Parámetros!$C:$Q,7,0)*G61/Indices!$R$8*Indices!$O$8/D61)*Parámetros!F65</f>
        <v>700.67935726399173</v>
      </c>
      <c r="J61" s="253">
        <f>+(VLOOKUP($B61,Parámetros!$C:$L,9,0)*F61/Indices!$Q$8+VLOOKUP($B61,Parámetros!$C:$L,10,0)*Indices!$O$8/D61*G61/Indices!$R$8)*Parámetros!J65</f>
        <v>81.908058437854692</v>
      </c>
      <c r="K61" s="253">
        <f>+(VLOOKUP(B61,Parámetros!$C:$O,12,0)*F61/Indices!$Q$8+VLOOKUP(B61,Parámetros!$C:$O,13,0)*Indices!$O$8/D61*G61/Indices!$R$8)*Parámetros!M65</f>
        <v>14.892138662741724</v>
      </c>
      <c r="L61" s="253">
        <f>+Parámetros!P65*Indices!$O$8/D61*G61/Indices!$R$8</f>
        <v>1.2440451854608539</v>
      </c>
      <c r="M61" s="324">
        <f>+ROUND(ROUND(((I61*VLOOKUP($B61,Parámetros!$C:$AL,33,0)+J61*VLOOKUP($B61,Parámetros!$C:$AL,34,0)+K61*VLOOKUP($B61,Parámetros!$C:$AL,35,0))*VLOOKUP($B61,Parámetros!$C:$AL,36,0)+L61)*(VLOOKUP($B61,Parámetros!$C:$AL,16,0))*(VLOOKUP($B61,Parámetros!$C:$AL,17,0)),Indices!$T$8)*D61,Indices!$U$8)</f>
        <v>8569.98</v>
      </c>
      <c r="N61" s="324">
        <v>8600.9500000000007</v>
      </c>
      <c r="O61" s="262">
        <f>+M61/N61-1</f>
        <v>-3.6007650317698703E-3</v>
      </c>
      <c r="P61" s="326" t="s">
        <v>56</v>
      </c>
      <c r="Q61" s="324">
        <f>(VLOOKUP(B61,Parámetros!$C:$AL,20,0)*E61/Indices!$P$8+VLOOKUP(B61,Parámetros!$C:$AL,21,0)*F61/Indices!$Q$8+VLOOKUP(B61,Parámetros!$C:$AL,22,0)*G61/Indices!$R$8*Indices!$O$8/D61)*Parámetros!U65</f>
        <v>689.89831868664248</v>
      </c>
      <c r="R61" s="324">
        <f>+(VLOOKUP(B61,Parámetros!$C:$AL,24,0)*F61/Indices!$Q$8+VLOOKUP(B61,Parámetros!$C:$AL,25,0)*Indices!$O$8/D61*G61/Indices!$R$8)*Parámetros!Y65</f>
        <v>77.857413288780762</v>
      </c>
      <c r="S61" s="324">
        <f>+(VLOOKUP(B61,Parámetros!$C:$AL,27,0)*F61/Indices!$Q$8+VLOOKUP(B61,Parámetros!$C:$AL,28,0)*Indices!$O$8/D61*G61/Indices!$R$8)*Parámetros!AB65</f>
        <v>15.350068703826198</v>
      </c>
      <c r="T61" s="324">
        <f>Parámetros!AE65*Indices!$O$8/D61*G61/Indices!$R$8</f>
        <v>1.2281095084481186</v>
      </c>
      <c r="U61" s="324">
        <f>+ROUND(ROUND(((Q61*VLOOKUP($B61,Parámetros!$C:$AL,33,0)+R61*VLOOKUP($B61,Parámetros!$C:$AL,34,0)+S61*VLOOKUP($B61,Parámetros!$C:$AL,35,0))*VLOOKUP($B61,Parámetros!$C:$AL,36,0)+T61)*(VLOOKUP($B61,Parámetros!$C:$AL,31,0))*(VLOOKUP($B61,Parámetros!$C:$AL,32,0)),Indices!$T$7)*D61,Indices!$U$7)</f>
        <v>8422.4</v>
      </c>
      <c r="V61" s="253">
        <v>8452.18</v>
      </c>
      <c r="W61" s="261">
        <f>+U61/V61-1</f>
        <v>-3.5233513720721588E-3</v>
      </c>
    </row>
    <row r="62" spans="2:23" x14ac:dyDescent="0.2">
      <c r="B62" s="38">
        <v>46174</v>
      </c>
      <c r="C62" s="38" t="s">
        <v>145</v>
      </c>
      <c r="D62" s="233">
        <f>+VLOOKUP(DATE(YEAR(B62),MONTH(B62)-2,1),Indices!$B:$F,2,0)</f>
        <v>897.89</v>
      </c>
      <c r="E62" s="228">
        <f>+VLOOKUP(DATE(YEAR(B62),MONTH(B62)-7,1),Indices!$B:$F,4,0)</f>
        <v>281.39999999999998</v>
      </c>
      <c r="F62" s="228">
        <f>+VLOOKUP(DATE(YEAR(B62),MONTH(B62)-7,1),Indices!$B:$F,5,0)</f>
        <v>261.91399999999999</v>
      </c>
      <c r="G62" s="233">
        <f>+VLOOKUP(DATE(YEAR(B62),MONTH(B62)-2,1),Indices!$B:$F,3,0)</f>
        <v>112.18</v>
      </c>
      <c r="H62" s="234" t="s">
        <v>48</v>
      </c>
      <c r="I62" s="233">
        <f>(VLOOKUP(B62,Parámetros!$C:$Q,5,0)*E62/Indices!$P$8+VLOOKUP(B62,Parámetros!$C:$Q,6,0)*F62/Indices!$Q$8+VLOOKUP(B62,Parámetros!$C:$Q,7,0)*G62/Indices!$R$8*Indices!$O$8/D62)*Parámetros!F66</f>
        <v>707.84848930777514</v>
      </c>
      <c r="J62" s="233">
        <f>+(VLOOKUP($B62,Parámetros!$C:$L,9,0)*F62/Indices!$Q$8+VLOOKUP($B62,Parámetros!$C:$L,10,0)*Indices!$O$8/D62*G62/Indices!$R$8)*Parámetros!J66</f>
        <v>83.15081203320986</v>
      </c>
      <c r="K62" s="233">
        <f>+(VLOOKUP(B62,Parámetros!$C:$O,12,0)*F62/Indices!$Q$8+VLOOKUP(B62,Parámetros!$C:$O,13,0)*Indices!$O$8/D62*G62/Indices!$R$8)*Parámetros!M66</f>
        <v>15.245557772565999</v>
      </c>
      <c r="L62" s="233">
        <f>+Parámetros!P66*Indices!$O$8/D62*G62/Indices!$R$8</f>
        <v>1.2769491779387294</v>
      </c>
      <c r="M62" s="290">
        <f>+ROUND(ROUND(((I62*VLOOKUP($B62,Parámetros!$C:$AL,33,0)+J62*VLOOKUP($B62,Parámetros!$C:$AL,34,0)+K62*VLOOKUP($B62,Parámetros!$C:$AL,35,0))*VLOOKUP($B62,Parámetros!$C:$AL,36,0)+L62)*(VLOOKUP($B62,Parámetros!$C:$AL,16,0))*(VLOOKUP($B62,Parámetros!$C:$AL,17,0)),Indices!$T$8)*D62,Indices!$U$8)</f>
        <v>8568.56</v>
      </c>
      <c r="N62" s="290">
        <v>8600.9500000000007</v>
      </c>
      <c r="O62" s="291">
        <f>+M62/N62-1</f>
        <v>-3.7658630732653187E-3</v>
      </c>
      <c r="P62" s="292" t="s">
        <v>56</v>
      </c>
      <c r="Q62" s="290">
        <f>(VLOOKUP(B62,Parámetros!$C:$AL,20,0)*E62/Indices!$P$8+VLOOKUP(B62,Parámetros!$C:$AL,21,0)*F62/Indices!$Q$8+VLOOKUP(B62,Parámetros!$C:$AL,22,0)*G62/Indices!$R$8*Indices!$O$8/D62)*Parámetros!U66</f>
        <v>696.97511980219952</v>
      </c>
      <c r="R62" s="290">
        <f>+(VLOOKUP(B62,Parámetros!$C:$AL,24,0)*F62/Indices!$Q$8+VLOOKUP(B62,Parámetros!$C:$AL,25,0)*Indices!$O$8/D62*G62/Indices!$R$8)*Parámetros!Y66</f>
        <v>79.049695554157168</v>
      </c>
      <c r="S62" s="290">
        <f>+(VLOOKUP(B62,Parámetros!$C:$AL,27,0)*F62/Indices!$Q$8+VLOOKUP(B62,Parámetros!$C:$AL,28,0)*Indices!$O$8/D62*G62/Indices!$R$8)*Parámetros!AB66</f>
        <v>15.716277061437793</v>
      </c>
      <c r="T62" s="290">
        <f>Parámetros!AE66*Indices!$O$8/D62*G62/Indices!$R$8</f>
        <v>1.26059201511287</v>
      </c>
      <c r="U62" s="290">
        <f>+ROUND(ROUND(((Q62*VLOOKUP($B62,Parámetros!$C:$AL,33,0)+R62*VLOOKUP($B62,Parámetros!$C:$AL,34,0)+S62*VLOOKUP($B62,Parámetros!$C:$AL,35,0))*VLOOKUP($B62,Parámetros!$C:$AL,36,0)+T62)*(VLOOKUP($B62,Parámetros!$C:$AL,31,0))*(VLOOKUP($B62,Parámetros!$C:$AL,32,0)),Indices!$T$7)*D62,Indices!$U$7)</f>
        <v>8421.31</v>
      </c>
      <c r="V62" s="233">
        <v>8452.18</v>
      </c>
      <c r="W62" s="235">
        <f>+U62/V62-1</f>
        <v>-3.6523121845489781E-3</v>
      </c>
    </row>
    <row r="63" spans="2:23" x14ac:dyDescent="0.2">
      <c r="B63" s="2">
        <v>46204</v>
      </c>
      <c r="C63" s="2" t="s">
        <v>145</v>
      </c>
      <c r="D63" s="253">
        <f>+VLOOKUP(DATE(YEAR(B63),MONTH(B63)-2,1),Indices!$B:$F,2,0)</f>
        <v>897.64</v>
      </c>
      <c r="E63" s="229">
        <f>+VLOOKUP(DATE(YEAR(B63),MONTH(B63)-7,1),Indices!$B:$F,4,0)</f>
        <v>280.44900000000001</v>
      </c>
      <c r="F63" s="229">
        <f>+VLOOKUP(DATE(YEAR(B63),MONTH(B63)-7,1),Indices!$B:$F,5,0)</f>
        <v>261.33300000000003</v>
      </c>
      <c r="G63" s="253">
        <f>+VLOOKUP(DATE(YEAR(B63),MONTH(B63)-2,1),Indices!$B:$F,3,0)</f>
        <v>112.37</v>
      </c>
      <c r="H63" s="325" t="s">
        <v>48</v>
      </c>
      <c r="I63" s="253">
        <f>(VLOOKUP(B63,Parámetros!$C:$Q,5,0)*E63/Indices!$P$8+VLOOKUP(B63,Parámetros!$C:$Q,6,0)*F63/Indices!$Q$8+VLOOKUP(B63,Parámetros!$C:$Q,7,0)*G63/Indices!$R$8*Indices!$O$8/D63)*Parámetros!F67</f>
        <v>706.58874454973284</v>
      </c>
      <c r="J63" s="253">
        <f>+(VLOOKUP($B63,Parámetros!$C:$L,9,0)*F63/Indices!$Q$8+VLOOKUP($B63,Parámetros!$C:$L,10,0)*Indices!$O$8/D63*G63/Indices!$R$8)*Parámetros!J67</f>
        <v>83.132801144798648</v>
      </c>
      <c r="K63" s="253">
        <f>+(VLOOKUP(B63,Parámetros!$C:$O,12,0)*F63/Indices!$Q$8+VLOOKUP(B63,Parámetros!$C:$O,13,0)*Indices!$O$8/D63*G63/Indices!$R$8)*Parámetros!M67</f>
        <v>15.267657064301279</v>
      </c>
      <c r="L63" s="253">
        <f>+Parámetros!P67*Indices!$O$8/D63*G63/Indices!$R$8</f>
        <v>1.2794681981413514</v>
      </c>
      <c r="M63" s="324">
        <f>+ROUND(ROUND(((I63*VLOOKUP($B63,Parámetros!$C:$AL,33,0)+J63*VLOOKUP($B63,Parámetros!$C:$AL,34,0)+K63*VLOOKUP($B63,Parámetros!$C:$AL,35,0))*VLOOKUP($B63,Parámetros!$C:$AL,36,0)+L63)*(VLOOKUP($B63,Parámetros!$C:$AL,16,0))*(VLOOKUP($B63,Parámetros!$C:$AL,17,0)),Indices!$T$8)*D63,Indices!$U$8)</f>
        <v>8557.2000000000007</v>
      </c>
      <c r="N63" s="324">
        <v>8600.9500000000007</v>
      </c>
      <c r="O63" s="262">
        <f>+M63/N63-1</f>
        <v>-5.0866474052284616E-3</v>
      </c>
      <c r="P63" s="326" t="s">
        <v>56</v>
      </c>
      <c r="Q63" s="324">
        <f>(VLOOKUP(B63,Parámetros!$C:$AL,20,0)*E63/Indices!$P$8+VLOOKUP(B63,Parámetros!$C:$AL,21,0)*F63/Indices!$Q$8+VLOOKUP(B63,Parámetros!$C:$AL,22,0)*G63/Indices!$R$8*Indices!$O$8/D63)*Parámetros!U67</f>
        <v>695.73899897315641</v>
      </c>
      <c r="R63" s="324">
        <f>+(VLOOKUP(B63,Parámetros!$C:$AL,24,0)*F63/Indices!$Q$8+VLOOKUP(B63,Parámetros!$C:$AL,25,0)*Indices!$O$8/D63*G63/Indices!$R$8)*Parámetros!Y67</f>
        <v>79.034762515603305</v>
      </c>
      <c r="S63" s="324">
        <f>+(VLOOKUP(B63,Parámetros!$C:$AL,27,0)*F63/Indices!$Q$8+VLOOKUP(B63,Parámetros!$C:$AL,28,0)*Indices!$O$8/D63*G63/Indices!$R$8)*Parámetros!AB67</f>
        <v>15.739438436614446</v>
      </c>
      <c r="T63" s="324">
        <f>Parámetros!AE67*Indices!$O$8/D63*G63/Indices!$R$8</f>
        <v>1.2630787677637931</v>
      </c>
      <c r="U63" s="324">
        <f>+ROUND(ROUND(((Q63*VLOOKUP($B63,Parámetros!$C:$AL,33,0)+R63*VLOOKUP($B63,Parámetros!$C:$AL,34,0)+S63*VLOOKUP($B63,Parámetros!$C:$AL,35,0))*VLOOKUP($B63,Parámetros!$C:$AL,36,0)+T63)*(VLOOKUP($B63,Parámetros!$C:$AL,31,0))*(VLOOKUP($B63,Parámetros!$C:$AL,32,0)),Indices!$T$7)*D63,Indices!$U$7)</f>
        <v>8410.26</v>
      </c>
      <c r="V63" s="253">
        <v>8452.18</v>
      </c>
      <c r="W63" s="261">
        <f>+U63/V63-1</f>
        <v>-4.9596672101162032E-3</v>
      </c>
    </row>
    <row r="64" spans="2:23" x14ac:dyDescent="0.2">
      <c r="B64" s="38">
        <v>46235</v>
      </c>
      <c r="C64" s="38" t="s">
        <v>145</v>
      </c>
      <c r="D64" s="233">
        <f>+VLOOKUP(DATE(YEAR(B64),MONTH(B64)-2,1),Indices!$B:$F,2,0)</f>
        <v>903.38</v>
      </c>
      <c r="E64" s="228">
        <f>+VLOOKUP(DATE(YEAR(B64),MONTH(B64)-7,1),Indices!$B:$F,4,0)</f>
        <v>280.42200000000003</v>
      </c>
      <c r="F64" s="228">
        <f>+VLOOKUP(DATE(YEAR(B64),MONTH(B64)-7,1),Indices!$B:$F,5,0)</f>
        <v>263.608</v>
      </c>
      <c r="G64" s="233">
        <f>+VLOOKUP(DATE(YEAR(B64),MONTH(B64)-2,1),Indices!$B:$F,3,0)</f>
        <v>112.35</v>
      </c>
      <c r="H64" s="234" t="s">
        <v>48</v>
      </c>
      <c r="I64" s="233">
        <f>(VLOOKUP(B64,Parámetros!$C:$Q,5,0)*E64/Indices!$P$8+VLOOKUP(B64,Parámetros!$C:$Q,6,0)*F64/Indices!$Q$8+VLOOKUP(B64,Parámetros!$C:$Q,7,0)*G64/Indices!$R$8*Indices!$O$8/D64)*Parámetros!F68</f>
        <v>705.68134476662988</v>
      </c>
      <c r="J64" s="233">
        <f>+(VLOOKUP($B64,Parámetros!$C:$L,9,0)*F64/Indices!$Q$8+VLOOKUP($B64,Parámetros!$C:$L,10,0)*Indices!$O$8/D64*G64/Indices!$R$8)*Parámetros!J68</f>
        <v>83.25021725748735</v>
      </c>
      <c r="K64" s="233">
        <f>+(VLOOKUP(B64,Parámetros!$C:$O,12,0)*F64/Indices!$Q$8+VLOOKUP(B64,Parámetros!$C:$O,13,0)*Indices!$O$8/D64*G64/Indices!$R$8)*Parámetros!M68</f>
        <v>15.196877562924183</v>
      </c>
      <c r="L64" s="233">
        <f>+Parámetros!P68*Indices!$O$8/D64*G64/Indices!$R$8</f>
        <v>1.2711122883656847</v>
      </c>
      <c r="M64" s="290">
        <f>+ROUND(ROUND(((I64*VLOOKUP($B64,Parámetros!$C:$AL,33,0)+J64*VLOOKUP($B64,Parámetros!$C:$AL,34,0)+K64*VLOOKUP($B64,Parámetros!$C:$AL,35,0))*VLOOKUP($B64,Parámetros!$C:$AL,36,0)+L64)*(VLOOKUP($B64,Parámetros!$C:$AL,16,0))*(VLOOKUP($B64,Parámetros!$C:$AL,17,0)),Indices!$T$8)*D64,Indices!$U$8)</f>
        <v>8595.66</v>
      </c>
      <c r="N64" s="290">
        <v>8600.9500000000007</v>
      </c>
      <c r="O64" s="291">
        <f>+M64/N64-1</f>
        <v>-6.1504833768377676E-4</v>
      </c>
      <c r="P64" s="292" t="s">
        <v>56</v>
      </c>
      <c r="Q64" s="290">
        <f>(VLOOKUP(B64,Parámetros!$C:$AL,20,0)*E64/Indices!$P$8+VLOOKUP(B64,Parámetros!$C:$AL,21,0)*F64/Indices!$Q$8+VLOOKUP(B64,Parámetros!$C:$AL,22,0)*G64/Indices!$R$8*Indices!$O$8/D64)*Parámetros!U68</f>
        <v>694.8395852470519</v>
      </c>
      <c r="R64" s="290">
        <f>+(VLOOKUP(B64,Parámetros!$C:$AL,24,0)*F64/Indices!$Q$8+VLOOKUP(B64,Parámetros!$C:$AL,25,0)*Indices!$O$8/D64*G64/Indices!$R$8)*Parámetros!Y68</f>
        <v>79.138430904436802</v>
      </c>
      <c r="S64" s="290">
        <f>+(VLOOKUP(B64,Parámetros!$C:$AL,27,0)*F64/Indices!$Q$8+VLOOKUP(B64,Parámetros!$C:$AL,28,0)*Indices!$O$8/D64*G64/Indices!$R$8)*Parámetros!AB68</f>
        <v>15.665093575492243</v>
      </c>
      <c r="T64" s="290">
        <f>Parámetros!AE68*Indices!$O$8/D64*G64/Indices!$R$8</f>
        <v>1.2548298935531434</v>
      </c>
      <c r="U64" s="290">
        <f>+ROUND(ROUND(((Q64*VLOOKUP($B64,Parámetros!$C:$AL,33,0)+R64*VLOOKUP($B64,Parámetros!$C:$AL,34,0)+S64*VLOOKUP($B64,Parámetros!$C:$AL,35,0))*VLOOKUP($B64,Parámetros!$C:$AL,36,0)+T64)*(VLOOKUP($B64,Parámetros!$C:$AL,31,0))*(VLOOKUP($B64,Parámetros!$C:$AL,32,0)),Indices!$T$7)*D64,Indices!$U$7)</f>
        <v>8447.7800000000007</v>
      </c>
      <c r="V64" s="233">
        <v>8452.18</v>
      </c>
      <c r="W64" s="235">
        <f>+U64/V64-1</f>
        <v>-5.2057575678698953E-4</v>
      </c>
    </row>
    <row r="66" spans="3:3" x14ac:dyDescent="0.2">
      <c r="C66" s="231"/>
    </row>
    <row r="1048576" spans="2:2" x14ac:dyDescent="0.2">
      <c r="B1048576" s="38"/>
    </row>
  </sheetData>
  <mergeCells count="17">
    <mergeCell ref="B3:B4"/>
    <mergeCell ref="Q3:T3"/>
    <mergeCell ref="U3:U4"/>
    <mergeCell ref="Q1:T1"/>
    <mergeCell ref="V3:V4"/>
    <mergeCell ref="D3:G3"/>
    <mergeCell ref="M3:M4"/>
    <mergeCell ref="N3:N4"/>
    <mergeCell ref="O3:O4"/>
    <mergeCell ref="I3:L3"/>
    <mergeCell ref="C3:C4"/>
    <mergeCell ref="H2:O2"/>
    <mergeCell ref="H3:H4"/>
    <mergeCell ref="P3:P4"/>
    <mergeCell ref="P2:W2"/>
    <mergeCell ref="AA1:AN1"/>
    <mergeCell ref="W3:W4"/>
  </mergeCells>
  <phoneticPr fontId="28" type="noConversion"/>
  <pageMargins left="0.75" right="0.75" top="1" bottom="1" header="0" footer="0"/>
  <pageSetup paperSize="17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W171"/>
  <sheetViews>
    <sheetView showGridLines="0" zoomScaleNormal="100" workbookViewId="0">
      <pane ySplit="4" topLeftCell="A144" activePane="bottomLeft" state="frozen"/>
      <selection sqref="A1:XFD1048576"/>
      <selection pane="bottomLeft"/>
    </sheetView>
  </sheetViews>
  <sheetFormatPr baseColWidth="10" defaultColWidth="12.7109375" defaultRowHeight="12.75" x14ac:dyDescent="0.2"/>
  <cols>
    <col min="1" max="1" width="3.85546875" customWidth="1"/>
    <col min="2" max="2" width="9.42578125" style="1" bestFit="1" customWidth="1"/>
    <col min="3" max="3" width="26.7109375" style="1" customWidth="1"/>
    <col min="4" max="4" width="17.140625" style="1" customWidth="1"/>
    <col min="5" max="5" width="8.42578125" style="1" customWidth="1"/>
    <col min="6" max="6" width="15.7109375" style="1" customWidth="1"/>
    <col min="7" max="7" width="11.42578125" style="1" customWidth="1"/>
    <col min="8" max="8" width="10" style="1" customWidth="1"/>
    <col min="9" max="9" width="4.85546875" style="1" customWidth="1"/>
    <col min="10" max="10" width="11.42578125" style="1" customWidth="1"/>
    <col min="11" max="11" width="56" style="1" bestFit="1" customWidth="1"/>
    <col min="12" max="12" width="17.140625" style="1" customWidth="1"/>
    <col min="13" max="13" width="8.42578125" style="1" customWidth="1"/>
    <col min="14" max="14" width="15.7109375" customWidth="1"/>
    <col min="15" max="15" width="14" customWidth="1"/>
    <col min="16" max="16" width="10" customWidth="1"/>
    <col min="17" max="17" width="17.140625" customWidth="1"/>
    <col min="18" max="18" width="8.42578125" customWidth="1"/>
    <col min="19" max="19" width="15.7109375" customWidth="1"/>
    <col min="20" max="20" width="11.28515625" customWidth="1"/>
    <col min="21" max="21" width="10" customWidth="1"/>
    <col min="23" max="23" width="66.140625" customWidth="1"/>
  </cols>
  <sheetData>
    <row r="1" spans="2:23" x14ac:dyDescent="0.2">
      <c r="W1" s="244" t="s">
        <v>65</v>
      </c>
    </row>
    <row r="2" spans="2:23" ht="13.5" thickBot="1" x14ac:dyDescent="0.25">
      <c r="W2" s="245" t="s">
        <v>66</v>
      </c>
    </row>
    <row r="3" spans="2:23" ht="13.5" thickBot="1" x14ac:dyDescent="0.25">
      <c r="D3" s="20" t="s">
        <v>12</v>
      </c>
      <c r="E3" s="21"/>
      <c r="F3" s="21"/>
      <c r="G3" s="21"/>
      <c r="H3" s="22"/>
      <c r="L3" s="20" t="s">
        <v>67</v>
      </c>
      <c r="M3" s="21"/>
      <c r="N3" s="25"/>
      <c r="O3" s="25"/>
      <c r="P3" s="29"/>
      <c r="Q3" s="28" t="s">
        <v>68</v>
      </c>
      <c r="R3" s="21"/>
      <c r="S3" s="21"/>
      <c r="T3" s="21"/>
      <c r="U3" s="22"/>
      <c r="W3" s="246" t="s">
        <v>118</v>
      </c>
    </row>
    <row r="4" spans="2:23" ht="39" thickBot="1" x14ac:dyDescent="0.25">
      <c r="B4" s="12" t="s">
        <v>22</v>
      </c>
      <c r="C4" s="12" t="s">
        <v>24</v>
      </c>
      <c r="D4" s="12" t="s">
        <v>10</v>
      </c>
      <c r="E4" s="69" t="s">
        <v>28</v>
      </c>
      <c r="F4" s="69" t="s">
        <v>29</v>
      </c>
      <c r="G4" s="82" t="s">
        <v>30</v>
      </c>
      <c r="H4" s="12" t="s">
        <v>16</v>
      </c>
      <c r="I4" s="70"/>
      <c r="J4" s="12" t="s">
        <v>22</v>
      </c>
      <c r="K4" s="32" t="s">
        <v>24</v>
      </c>
      <c r="L4" s="12" t="s">
        <v>10</v>
      </c>
      <c r="M4" s="69" t="s">
        <v>28</v>
      </c>
      <c r="N4" s="69" t="s">
        <v>29</v>
      </c>
      <c r="O4" s="82" t="s">
        <v>30</v>
      </c>
      <c r="P4" s="26" t="s">
        <v>16</v>
      </c>
      <c r="Q4" s="30" t="s">
        <v>10</v>
      </c>
      <c r="R4" s="69" t="s">
        <v>28</v>
      </c>
      <c r="S4" s="69" t="s">
        <v>29</v>
      </c>
      <c r="T4" s="82" t="s">
        <v>30</v>
      </c>
      <c r="U4" s="12" t="s">
        <v>16</v>
      </c>
    </row>
    <row r="5" spans="2:23" x14ac:dyDescent="0.2">
      <c r="B5" s="56">
        <v>41214</v>
      </c>
      <c r="C5" s="56" t="s">
        <v>25</v>
      </c>
      <c r="D5" s="56" t="s">
        <v>13</v>
      </c>
      <c r="E5" s="71">
        <v>220</v>
      </c>
      <c r="F5" s="48">
        <v>4292.78</v>
      </c>
      <c r="G5" s="48">
        <v>4321.46</v>
      </c>
      <c r="H5" s="83">
        <v>6.6810000000000003E-3</v>
      </c>
      <c r="J5" s="56">
        <v>41214</v>
      </c>
      <c r="K5" s="47" t="s">
        <v>25</v>
      </c>
      <c r="L5" s="56" t="s">
        <v>14</v>
      </c>
      <c r="M5" s="76">
        <v>220</v>
      </c>
      <c r="N5" s="48">
        <v>4936.6499999999996</v>
      </c>
      <c r="O5" s="48">
        <v>4959.95</v>
      </c>
      <c r="P5" s="59">
        <v>4.7200000000000002E-3</v>
      </c>
      <c r="Q5" s="50" t="s">
        <v>15</v>
      </c>
      <c r="R5" s="76">
        <v>220</v>
      </c>
      <c r="S5" s="49">
        <v>4172.1400000000003</v>
      </c>
      <c r="T5" s="48">
        <v>4197.9399999999996</v>
      </c>
      <c r="U5" s="83">
        <v>6.1840000000000003E-3</v>
      </c>
    </row>
    <row r="6" spans="2:23" x14ac:dyDescent="0.2">
      <c r="B6" s="38">
        <f t="shared" ref="B6:B47" si="0">+DATE(YEAR(B5),MONTH(B5)+1,1)</f>
        <v>41244</v>
      </c>
      <c r="C6" s="38" t="s">
        <v>25</v>
      </c>
      <c r="D6" s="38" t="s">
        <v>13</v>
      </c>
      <c r="E6" s="72">
        <v>220</v>
      </c>
      <c r="F6" s="35">
        <v>4292.78</v>
      </c>
      <c r="G6" s="35">
        <v>4372.51</v>
      </c>
      <c r="H6" s="84">
        <v>1.8572999999999999E-2</v>
      </c>
      <c r="J6" s="38">
        <f t="shared" ref="J6:J47" si="1">+DATE(YEAR(J5),MONTH(J5)+1,1)</f>
        <v>41244</v>
      </c>
      <c r="K6" s="34" t="s">
        <v>25</v>
      </c>
      <c r="L6" s="38" t="s">
        <v>14</v>
      </c>
      <c r="M6" s="77">
        <v>220</v>
      </c>
      <c r="N6" s="35">
        <v>4936.6499999999996</v>
      </c>
      <c r="O6" s="35">
        <v>5009.3900000000003</v>
      </c>
      <c r="P6" s="42">
        <v>1.4735E-2</v>
      </c>
      <c r="Q6" s="37" t="s">
        <v>15</v>
      </c>
      <c r="R6" s="77">
        <v>220</v>
      </c>
      <c r="S6" s="36">
        <v>4172.1400000000003</v>
      </c>
      <c r="T6" s="35">
        <v>4245.3500000000004</v>
      </c>
      <c r="U6" s="84">
        <v>1.7547E-2</v>
      </c>
    </row>
    <row r="7" spans="2:23" x14ac:dyDescent="0.2">
      <c r="B7" s="2">
        <f t="shared" si="0"/>
        <v>41275</v>
      </c>
      <c r="C7" s="2" t="s">
        <v>25</v>
      </c>
      <c r="D7" s="2" t="s">
        <v>13</v>
      </c>
      <c r="E7" s="73">
        <v>220</v>
      </c>
      <c r="F7" s="23">
        <v>4292.78</v>
      </c>
      <c r="G7" s="23">
        <v>4349.1000000000004</v>
      </c>
      <c r="H7" s="85">
        <v>1.312E-2</v>
      </c>
      <c r="J7" s="2">
        <f t="shared" si="1"/>
        <v>41275</v>
      </c>
      <c r="K7" s="33" t="s">
        <v>25</v>
      </c>
      <c r="L7" s="2" t="s">
        <v>14</v>
      </c>
      <c r="M7" s="78">
        <v>220</v>
      </c>
      <c r="N7" s="23">
        <v>4936.6499999999996</v>
      </c>
      <c r="O7" s="23">
        <v>4982.5600000000004</v>
      </c>
      <c r="P7" s="27">
        <v>9.2999999999999992E-3</v>
      </c>
      <c r="Q7" s="31" t="s">
        <v>15</v>
      </c>
      <c r="R7" s="78">
        <v>220</v>
      </c>
      <c r="S7" s="24">
        <v>4172.1400000000003</v>
      </c>
      <c r="T7" s="23">
        <v>4222.63</v>
      </c>
      <c r="U7" s="85">
        <v>1.2102E-2</v>
      </c>
    </row>
    <row r="8" spans="2:23" x14ac:dyDescent="0.2">
      <c r="B8" s="38">
        <f t="shared" si="0"/>
        <v>41306</v>
      </c>
      <c r="C8" s="38" t="s">
        <v>25</v>
      </c>
      <c r="D8" s="38" t="s">
        <v>13</v>
      </c>
      <c r="E8" s="72">
        <v>220</v>
      </c>
      <c r="F8" s="35">
        <v>4292.78</v>
      </c>
      <c r="G8" s="35">
        <v>4324.1899999999996</v>
      </c>
      <c r="H8" s="84">
        <v>7.3169999999999997E-3</v>
      </c>
      <c r="J8" s="38">
        <f t="shared" si="1"/>
        <v>41306</v>
      </c>
      <c r="K8" s="34" t="s">
        <v>25</v>
      </c>
      <c r="L8" s="38" t="s">
        <v>14</v>
      </c>
      <c r="M8" s="77">
        <v>220</v>
      </c>
      <c r="N8" s="35">
        <v>4936.6499999999996</v>
      </c>
      <c r="O8" s="35">
        <v>4961.57</v>
      </c>
      <c r="P8" s="42">
        <v>5.0480000000000004E-3</v>
      </c>
      <c r="Q8" s="37" t="s">
        <v>15</v>
      </c>
      <c r="R8" s="77">
        <v>220</v>
      </c>
      <c r="S8" s="36">
        <v>4172.1400000000003</v>
      </c>
      <c r="T8" s="35">
        <v>4200.3100000000004</v>
      </c>
      <c r="U8" s="84">
        <v>6.7520000000000002E-3</v>
      </c>
    </row>
    <row r="9" spans="2:23" x14ac:dyDescent="0.2">
      <c r="B9" s="2">
        <f t="shared" si="0"/>
        <v>41334</v>
      </c>
      <c r="C9" s="2" t="s">
        <v>25</v>
      </c>
      <c r="D9" s="2" t="s">
        <v>13</v>
      </c>
      <c r="E9" s="73">
        <v>220</v>
      </c>
      <c r="F9" s="23">
        <v>4292.78</v>
      </c>
      <c r="G9" s="23">
        <v>4319</v>
      </c>
      <c r="H9" s="85">
        <v>6.1079999999999997E-3</v>
      </c>
      <c r="J9" s="2">
        <f t="shared" si="1"/>
        <v>41334</v>
      </c>
      <c r="K9" s="33" t="s">
        <v>25</v>
      </c>
      <c r="L9" s="2" t="s">
        <v>14</v>
      </c>
      <c r="M9" s="78">
        <v>220</v>
      </c>
      <c r="N9" s="23">
        <v>4936.6499999999996</v>
      </c>
      <c r="O9" s="23">
        <v>4962.3</v>
      </c>
      <c r="P9" s="27">
        <v>5.1960000000000001E-3</v>
      </c>
      <c r="Q9" s="31" t="s">
        <v>15</v>
      </c>
      <c r="R9" s="78">
        <v>220</v>
      </c>
      <c r="S9" s="24">
        <v>4172.1400000000003</v>
      </c>
      <c r="T9" s="23">
        <v>4196.88</v>
      </c>
      <c r="U9" s="85">
        <v>5.9300000000000004E-3</v>
      </c>
    </row>
    <row r="10" spans="2:23" ht="13.5" thickBot="1" x14ac:dyDescent="0.25">
      <c r="B10" s="57">
        <f t="shared" si="0"/>
        <v>41365</v>
      </c>
      <c r="C10" s="57" t="s">
        <v>25</v>
      </c>
      <c r="D10" s="57" t="s">
        <v>13</v>
      </c>
      <c r="E10" s="74">
        <v>220</v>
      </c>
      <c r="F10" s="52">
        <v>4292.78</v>
      </c>
      <c r="G10" s="52">
        <v>4335.34</v>
      </c>
      <c r="H10" s="86">
        <v>9.9139999999999992E-3</v>
      </c>
      <c r="J10" s="57">
        <f t="shared" si="1"/>
        <v>41365</v>
      </c>
      <c r="K10" s="51" t="s">
        <v>25</v>
      </c>
      <c r="L10" s="57" t="s">
        <v>14</v>
      </c>
      <c r="M10" s="79">
        <v>220</v>
      </c>
      <c r="N10" s="52">
        <v>4936.6499999999996</v>
      </c>
      <c r="O10" s="52">
        <v>4975.05</v>
      </c>
      <c r="P10" s="60">
        <v>7.7790000000000003E-3</v>
      </c>
      <c r="Q10" s="54" t="s">
        <v>15</v>
      </c>
      <c r="R10" s="79">
        <v>220</v>
      </c>
      <c r="S10" s="53">
        <v>4172.1400000000003</v>
      </c>
      <c r="T10" s="52">
        <v>4211.26</v>
      </c>
      <c r="U10" s="86">
        <v>9.3760000000000007E-3</v>
      </c>
    </row>
    <row r="11" spans="2:23" x14ac:dyDescent="0.2">
      <c r="B11" s="56">
        <f t="shared" si="0"/>
        <v>41395</v>
      </c>
      <c r="C11" s="56" t="s">
        <v>26</v>
      </c>
      <c r="D11" s="56" t="s">
        <v>13</v>
      </c>
      <c r="E11" s="71">
        <v>220</v>
      </c>
      <c r="F11" s="61">
        <v>4337.5600000000004</v>
      </c>
      <c r="G11" s="61">
        <v>4348.13</v>
      </c>
      <c r="H11" s="87">
        <v>2.4369999999999999E-3</v>
      </c>
      <c r="J11" s="56">
        <f t="shared" si="1"/>
        <v>41395</v>
      </c>
      <c r="K11" s="47" t="s">
        <v>26</v>
      </c>
      <c r="L11" s="56" t="s">
        <v>14</v>
      </c>
      <c r="M11" s="76">
        <v>220</v>
      </c>
      <c r="N11" s="61">
        <v>4977.29</v>
      </c>
      <c r="O11" s="61">
        <v>4982.07</v>
      </c>
      <c r="P11" s="63">
        <v>9.6000000000000002E-4</v>
      </c>
      <c r="Q11" s="50" t="s">
        <v>15</v>
      </c>
      <c r="R11" s="76">
        <v>220</v>
      </c>
      <c r="S11" s="62">
        <v>4213.3900000000003</v>
      </c>
      <c r="T11" s="61">
        <v>4222.12</v>
      </c>
      <c r="U11" s="87">
        <v>2.0720000000000001E-3</v>
      </c>
    </row>
    <row r="12" spans="2:23" x14ac:dyDescent="0.2">
      <c r="B12" s="38">
        <f t="shared" si="0"/>
        <v>41426</v>
      </c>
      <c r="C12" s="38" t="s">
        <v>26</v>
      </c>
      <c r="D12" s="38" t="s">
        <v>13</v>
      </c>
      <c r="E12" s="72">
        <v>220</v>
      </c>
      <c r="F12" s="35">
        <v>4337.5600000000004</v>
      </c>
      <c r="G12" s="35">
        <v>4372.33</v>
      </c>
      <c r="H12" s="84">
        <v>8.0160000000000006E-3</v>
      </c>
      <c r="J12" s="38">
        <f t="shared" si="1"/>
        <v>41426</v>
      </c>
      <c r="K12" s="34" t="s">
        <v>26</v>
      </c>
      <c r="L12" s="38" t="s">
        <v>14</v>
      </c>
      <c r="M12" s="77">
        <v>220</v>
      </c>
      <c r="N12" s="35">
        <v>4977.29</v>
      </c>
      <c r="O12" s="35">
        <v>5012.91</v>
      </c>
      <c r="P12" s="42">
        <v>7.1570000000000002E-3</v>
      </c>
      <c r="Q12" s="37" t="s">
        <v>15</v>
      </c>
      <c r="R12" s="77">
        <v>220</v>
      </c>
      <c r="S12" s="36">
        <v>4213.3900000000003</v>
      </c>
      <c r="T12" s="35">
        <v>4245.8500000000004</v>
      </c>
      <c r="U12" s="84">
        <v>7.7039999999999999E-3</v>
      </c>
    </row>
    <row r="13" spans="2:23" x14ac:dyDescent="0.2">
      <c r="B13" s="2">
        <f t="shared" si="0"/>
        <v>41456</v>
      </c>
      <c r="C13" s="2" t="s">
        <v>26</v>
      </c>
      <c r="D13" s="2" t="s">
        <v>13</v>
      </c>
      <c r="E13" s="73">
        <v>220</v>
      </c>
      <c r="F13" s="23">
        <v>4337.5600000000004</v>
      </c>
      <c r="G13" s="23">
        <v>4485.68</v>
      </c>
      <c r="H13" s="85">
        <v>3.4147999999999998E-2</v>
      </c>
      <c r="J13" s="2">
        <f t="shared" si="1"/>
        <v>41456</v>
      </c>
      <c r="K13" s="33" t="s">
        <v>26</v>
      </c>
      <c r="L13" s="2" t="s">
        <v>14</v>
      </c>
      <c r="M13" s="78">
        <v>220</v>
      </c>
      <c r="N13" s="23">
        <v>4977.29</v>
      </c>
      <c r="O13" s="23">
        <v>5155.1400000000003</v>
      </c>
      <c r="P13" s="27">
        <v>3.5732E-2</v>
      </c>
      <c r="Q13" s="31" t="s">
        <v>15</v>
      </c>
      <c r="R13" s="78">
        <v>220</v>
      </c>
      <c r="S13" s="24">
        <v>4213.3900000000003</v>
      </c>
      <c r="T13" s="23">
        <v>4357.3900000000003</v>
      </c>
      <c r="U13" s="85">
        <v>3.4176999999999999E-2</v>
      </c>
    </row>
    <row r="14" spans="2:23" x14ac:dyDescent="0.2">
      <c r="B14" s="38">
        <f t="shared" si="0"/>
        <v>41487</v>
      </c>
      <c r="C14" s="38" t="s">
        <v>26</v>
      </c>
      <c r="D14" s="38" t="s">
        <v>13</v>
      </c>
      <c r="E14" s="72">
        <v>220</v>
      </c>
      <c r="F14" s="35">
        <v>4337.5600000000004</v>
      </c>
      <c r="G14" s="35">
        <v>4509.0600000000004</v>
      </c>
      <c r="H14" s="84">
        <v>3.9537999999999997E-2</v>
      </c>
      <c r="J14" s="38">
        <f t="shared" si="1"/>
        <v>41487</v>
      </c>
      <c r="K14" s="34" t="s">
        <v>26</v>
      </c>
      <c r="L14" s="38" t="s">
        <v>14</v>
      </c>
      <c r="M14" s="77">
        <v>220</v>
      </c>
      <c r="N14" s="35">
        <v>4977.29</v>
      </c>
      <c r="O14" s="35">
        <v>5187.8599999999997</v>
      </c>
      <c r="P14" s="42">
        <v>4.2306000000000003E-2</v>
      </c>
      <c r="Q14" s="37" t="s">
        <v>15</v>
      </c>
      <c r="R14" s="77">
        <v>220</v>
      </c>
      <c r="S14" s="36">
        <v>4213.3900000000003</v>
      </c>
      <c r="T14" s="35">
        <v>4381.42</v>
      </c>
      <c r="U14" s="84">
        <v>3.9879999999999999E-2</v>
      </c>
    </row>
    <row r="15" spans="2:23" x14ac:dyDescent="0.2">
      <c r="B15" s="2">
        <f t="shared" si="0"/>
        <v>41518</v>
      </c>
      <c r="C15" s="2" t="s">
        <v>26</v>
      </c>
      <c r="D15" s="2" t="s">
        <v>13</v>
      </c>
      <c r="E15" s="73">
        <v>220</v>
      </c>
      <c r="F15" s="23">
        <v>4337.5600000000004</v>
      </c>
      <c r="G15" s="23">
        <v>4558.63</v>
      </c>
      <c r="H15" s="85">
        <v>5.0965999999999997E-2</v>
      </c>
      <c r="J15" s="2">
        <f t="shared" si="1"/>
        <v>41518</v>
      </c>
      <c r="K15" s="33" t="s">
        <v>26</v>
      </c>
      <c r="L15" s="2" t="s">
        <v>14</v>
      </c>
      <c r="M15" s="78">
        <v>220</v>
      </c>
      <c r="N15" s="23">
        <v>4977.29</v>
      </c>
      <c r="O15" s="23">
        <v>5244.65</v>
      </c>
      <c r="P15" s="27">
        <v>5.3716E-2</v>
      </c>
      <c r="Q15" s="31" t="s">
        <v>15</v>
      </c>
      <c r="R15" s="78">
        <v>220</v>
      </c>
      <c r="S15" s="24">
        <v>4213.3900000000003</v>
      </c>
      <c r="T15" s="23">
        <v>4429.1499999999996</v>
      </c>
      <c r="U15" s="85">
        <v>5.1207999999999997E-2</v>
      </c>
    </row>
    <row r="16" spans="2:23" ht="13.5" thickBot="1" x14ac:dyDescent="0.25">
      <c r="B16" s="57">
        <f t="shared" si="0"/>
        <v>41548</v>
      </c>
      <c r="C16" s="57" t="s">
        <v>26</v>
      </c>
      <c r="D16" s="57" t="s">
        <v>13</v>
      </c>
      <c r="E16" s="74">
        <v>220</v>
      </c>
      <c r="F16" s="52">
        <v>4337.5600000000004</v>
      </c>
      <c r="G16" s="52">
        <v>4524.12</v>
      </c>
      <c r="H16" s="86">
        <v>4.301E-2</v>
      </c>
      <c r="J16" s="57">
        <f t="shared" si="1"/>
        <v>41548</v>
      </c>
      <c r="K16" s="51" t="s">
        <v>26</v>
      </c>
      <c r="L16" s="57" t="s">
        <v>14</v>
      </c>
      <c r="M16" s="79">
        <v>220</v>
      </c>
      <c r="N16" s="52">
        <v>4977.29</v>
      </c>
      <c r="O16" s="52">
        <v>5199.84</v>
      </c>
      <c r="P16" s="60">
        <v>4.4713000000000003E-2</v>
      </c>
      <c r="Q16" s="54" t="s">
        <v>15</v>
      </c>
      <c r="R16" s="79">
        <v>220</v>
      </c>
      <c r="S16" s="53">
        <v>4213.3900000000003</v>
      </c>
      <c r="T16" s="52">
        <v>4394.96</v>
      </c>
      <c r="U16" s="86">
        <v>4.3094E-2</v>
      </c>
    </row>
    <row r="17" spans="1:22" x14ac:dyDescent="0.2">
      <c r="B17" s="55">
        <f t="shared" si="0"/>
        <v>41579</v>
      </c>
      <c r="C17" s="55" t="s">
        <v>27</v>
      </c>
      <c r="D17" s="55" t="s">
        <v>13</v>
      </c>
      <c r="E17" s="75">
        <v>220</v>
      </c>
      <c r="F17" s="44">
        <v>4513.43</v>
      </c>
      <c r="G17" s="44">
        <v>4513.8500000000004</v>
      </c>
      <c r="H17" s="88">
        <v>9.2999999999999997E-5</v>
      </c>
      <c r="J17" s="55">
        <f t="shared" si="1"/>
        <v>41579</v>
      </c>
      <c r="K17" s="43" t="s">
        <v>27</v>
      </c>
      <c r="L17" s="55" t="s">
        <v>14</v>
      </c>
      <c r="M17" s="80">
        <v>220</v>
      </c>
      <c r="N17" s="44">
        <v>5189.8599999999997</v>
      </c>
      <c r="O17" s="44">
        <v>5188.34</v>
      </c>
      <c r="P17" s="58">
        <v>-2.9300000000000002E-4</v>
      </c>
      <c r="Q17" s="46" t="s">
        <v>15</v>
      </c>
      <c r="R17" s="80">
        <v>220</v>
      </c>
      <c r="S17" s="45">
        <v>4385.22</v>
      </c>
      <c r="T17" s="44">
        <v>4385.38</v>
      </c>
      <c r="U17" s="88">
        <v>3.6000000000000001E-5</v>
      </c>
    </row>
    <row r="18" spans="1:22" x14ac:dyDescent="0.2">
      <c r="B18" s="38">
        <f t="shared" si="0"/>
        <v>41609</v>
      </c>
      <c r="C18" s="38" t="s">
        <v>27</v>
      </c>
      <c r="D18" s="38" t="s">
        <v>13</v>
      </c>
      <c r="E18" s="72">
        <v>220</v>
      </c>
      <c r="F18" s="35">
        <v>4513.43</v>
      </c>
      <c r="G18" s="35">
        <v>4604.83</v>
      </c>
      <c r="H18" s="84">
        <v>2.0251000000000002E-2</v>
      </c>
      <c r="J18" s="38">
        <f t="shared" si="1"/>
        <v>41609</v>
      </c>
      <c r="K18" s="34" t="s">
        <v>27</v>
      </c>
      <c r="L18" s="38" t="s">
        <v>14</v>
      </c>
      <c r="M18" s="77">
        <v>220</v>
      </c>
      <c r="N18" s="35">
        <v>5189.8599999999997</v>
      </c>
      <c r="O18" s="35">
        <v>5300.74</v>
      </c>
      <c r="P18" s="42">
        <v>2.1364999999999999E-2</v>
      </c>
      <c r="Q18" s="37" t="s">
        <v>15</v>
      </c>
      <c r="R18" s="77">
        <v>220</v>
      </c>
      <c r="S18" s="36">
        <v>4385.22</v>
      </c>
      <c r="T18" s="35">
        <v>4474.6499999999996</v>
      </c>
      <c r="U18" s="84">
        <v>2.0393999999999999E-2</v>
      </c>
    </row>
    <row r="19" spans="1:22" x14ac:dyDescent="0.2">
      <c r="B19" s="2">
        <f t="shared" si="0"/>
        <v>41640</v>
      </c>
      <c r="C19" s="2" t="s">
        <v>27</v>
      </c>
      <c r="D19" s="2" t="s">
        <v>13</v>
      </c>
      <c r="E19" s="73">
        <v>220</v>
      </c>
      <c r="F19" s="23">
        <v>4513.43</v>
      </c>
      <c r="G19" s="23">
        <v>4677.84</v>
      </c>
      <c r="H19" s="85">
        <v>3.6427000000000001E-2</v>
      </c>
      <c r="J19" s="2">
        <f t="shared" si="1"/>
        <v>41640</v>
      </c>
      <c r="K19" s="33" t="s">
        <v>27</v>
      </c>
      <c r="L19" s="2" t="s">
        <v>14</v>
      </c>
      <c r="M19" s="78">
        <v>220</v>
      </c>
      <c r="N19" s="23">
        <v>5189.8599999999997</v>
      </c>
      <c r="O19" s="23">
        <v>5384.94</v>
      </c>
      <c r="P19" s="27">
        <v>3.7588999999999997E-2</v>
      </c>
      <c r="Q19" s="31" t="s">
        <v>15</v>
      </c>
      <c r="R19" s="78">
        <v>220</v>
      </c>
      <c r="S19" s="24">
        <v>4385.22</v>
      </c>
      <c r="T19" s="23">
        <v>4545.12</v>
      </c>
      <c r="U19" s="85">
        <v>3.6463000000000002E-2</v>
      </c>
    </row>
    <row r="20" spans="1:22" ht="13.5" thickBot="1" x14ac:dyDescent="0.25">
      <c r="B20" s="38">
        <f t="shared" si="0"/>
        <v>41671</v>
      </c>
      <c r="C20" s="38" t="s">
        <v>27</v>
      </c>
      <c r="D20" s="38" t="s">
        <v>13</v>
      </c>
      <c r="E20" s="72">
        <v>220</v>
      </c>
      <c r="F20" s="35">
        <v>4513.43</v>
      </c>
      <c r="G20" s="35">
        <v>4719.08</v>
      </c>
      <c r="H20" s="84">
        <v>4.5564E-2</v>
      </c>
      <c r="J20" s="64">
        <f t="shared" si="1"/>
        <v>41671</v>
      </c>
      <c r="K20" s="89" t="s">
        <v>27</v>
      </c>
      <c r="L20" s="64" t="s">
        <v>14</v>
      </c>
      <c r="M20" s="81">
        <v>220</v>
      </c>
      <c r="N20" s="66">
        <v>5189.8599999999997</v>
      </c>
      <c r="O20" s="66">
        <v>5434.96</v>
      </c>
      <c r="P20" s="67">
        <v>4.7226999999999998E-2</v>
      </c>
      <c r="Q20" s="65" t="s">
        <v>15</v>
      </c>
      <c r="R20" s="81">
        <v>220</v>
      </c>
      <c r="S20" s="68">
        <v>4385.22</v>
      </c>
      <c r="T20" s="66">
        <v>4585.55</v>
      </c>
      <c r="U20" s="90">
        <v>4.5683000000000001E-2</v>
      </c>
    </row>
    <row r="21" spans="1:22" x14ac:dyDescent="0.2">
      <c r="B21" s="2">
        <f t="shared" si="0"/>
        <v>41699</v>
      </c>
      <c r="C21" s="2" t="s">
        <v>27</v>
      </c>
      <c r="D21" s="2" t="s">
        <v>13</v>
      </c>
      <c r="E21" s="73">
        <v>220</v>
      </c>
      <c r="F21" s="23">
        <v>4513.43</v>
      </c>
      <c r="G21" s="23">
        <v>4820.13</v>
      </c>
      <c r="H21" s="85">
        <v>6.7953E-2</v>
      </c>
      <c r="J21" s="56">
        <f t="shared" si="1"/>
        <v>41699</v>
      </c>
      <c r="K21" s="47" t="s">
        <v>31</v>
      </c>
      <c r="L21" s="56" t="s">
        <v>14</v>
      </c>
      <c r="M21" s="76">
        <v>220</v>
      </c>
      <c r="N21" s="61">
        <v>5553.54</v>
      </c>
      <c r="O21" s="61">
        <v>5553.54</v>
      </c>
      <c r="P21" s="63">
        <v>0</v>
      </c>
      <c r="Q21" s="50" t="s">
        <v>15</v>
      </c>
      <c r="R21" s="76">
        <v>220</v>
      </c>
      <c r="S21" s="62">
        <v>4683.38</v>
      </c>
      <c r="T21" s="61">
        <v>4683.38</v>
      </c>
      <c r="U21" s="87">
        <v>0</v>
      </c>
    </row>
    <row r="22" spans="1:22" ht="13.5" thickBot="1" x14ac:dyDescent="0.25">
      <c r="A22" s="1"/>
      <c r="B22" s="57">
        <f t="shared" si="0"/>
        <v>41730</v>
      </c>
      <c r="C22" s="57" t="s">
        <v>27</v>
      </c>
      <c r="D22" s="57" t="s">
        <v>13</v>
      </c>
      <c r="E22" s="74">
        <v>220</v>
      </c>
      <c r="F22" s="52">
        <v>4513.43</v>
      </c>
      <c r="G22" s="52">
        <v>4874.3900000000003</v>
      </c>
      <c r="H22" s="86">
        <v>7.9975000000000004E-2</v>
      </c>
      <c r="J22" s="57">
        <f t="shared" si="1"/>
        <v>41730</v>
      </c>
      <c r="K22" s="51" t="s">
        <v>31</v>
      </c>
      <c r="L22" s="57" t="s">
        <v>14</v>
      </c>
      <c r="M22" s="79">
        <v>220</v>
      </c>
      <c r="N22" s="52">
        <v>5553.54</v>
      </c>
      <c r="O22" s="52">
        <v>5613.39</v>
      </c>
      <c r="P22" s="60">
        <v>1.0777E-2</v>
      </c>
      <c r="Q22" s="54" t="s">
        <v>15</v>
      </c>
      <c r="R22" s="79">
        <v>220</v>
      </c>
      <c r="S22" s="53">
        <v>4683.38</v>
      </c>
      <c r="T22" s="52">
        <v>4735.2</v>
      </c>
      <c r="U22" s="86">
        <v>1.1065E-2</v>
      </c>
    </row>
    <row r="23" spans="1:22" x14ac:dyDescent="0.2">
      <c r="A23" s="1"/>
      <c r="B23" s="56">
        <f t="shared" si="0"/>
        <v>41760</v>
      </c>
      <c r="C23" s="56" t="s">
        <v>32</v>
      </c>
      <c r="D23" s="56" t="s">
        <v>13</v>
      </c>
      <c r="E23" s="71">
        <v>220</v>
      </c>
      <c r="F23" s="61">
        <v>4857.03</v>
      </c>
      <c r="G23" s="61">
        <v>4848.74</v>
      </c>
      <c r="H23" s="87">
        <v>-1.707E-3</v>
      </c>
      <c r="J23" s="56">
        <f t="shared" si="1"/>
        <v>41760</v>
      </c>
      <c r="K23" s="47" t="s">
        <v>32</v>
      </c>
      <c r="L23" s="56" t="s">
        <v>14</v>
      </c>
      <c r="M23" s="76">
        <v>220</v>
      </c>
      <c r="N23" s="61">
        <v>5597.18</v>
      </c>
      <c r="O23" s="61">
        <v>5573.64</v>
      </c>
      <c r="P23" s="63">
        <v>-4.2059999999999997E-3</v>
      </c>
      <c r="Q23" s="50" t="s">
        <v>15</v>
      </c>
      <c r="R23" s="76">
        <v>220</v>
      </c>
      <c r="S23" s="62">
        <v>4719.3999999999996</v>
      </c>
      <c r="T23" s="61">
        <v>4708.82</v>
      </c>
      <c r="U23" s="87">
        <v>-2.2420000000000001E-3</v>
      </c>
    </row>
    <row r="24" spans="1:22" x14ac:dyDescent="0.2">
      <c r="A24" s="1"/>
      <c r="B24" s="38">
        <f t="shared" si="0"/>
        <v>41791</v>
      </c>
      <c r="C24" s="38" t="s">
        <v>32</v>
      </c>
      <c r="D24" s="38" t="s">
        <v>13</v>
      </c>
      <c r="E24" s="72">
        <v>220</v>
      </c>
      <c r="F24" s="35">
        <v>4857.03</v>
      </c>
      <c r="G24" s="35">
        <v>4864.3</v>
      </c>
      <c r="H24" s="84">
        <v>1.4970000000000001E-3</v>
      </c>
      <c r="J24" s="38">
        <f t="shared" si="1"/>
        <v>41791</v>
      </c>
      <c r="K24" s="34" t="s">
        <v>32</v>
      </c>
      <c r="L24" s="38" t="s">
        <v>14</v>
      </c>
      <c r="M24" s="77">
        <v>220</v>
      </c>
      <c r="N24" s="35">
        <v>5597.18</v>
      </c>
      <c r="O24" s="35">
        <v>5593.94</v>
      </c>
      <c r="P24" s="42">
        <v>-5.7899999999999998E-4</v>
      </c>
      <c r="Q24" s="37" t="s">
        <v>15</v>
      </c>
      <c r="R24" s="77">
        <v>220</v>
      </c>
      <c r="S24" s="36">
        <v>4719.3999999999996</v>
      </c>
      <c r="T24" s="35">
        <v>4724.5600000000004</v>
      </c>
      <c r="U24" s="84">
        <v>1.093E-3</v>
      </c>
    </row>
    <row r="25" spans="1:22" x14ac:dyDescent="0.2">
      <c r="A25" s="1"/>
      <c r="B25" s="2">
        <f t="shared" si="0"/>
        <v>41821</v>
      </c>
      <c r="C25" s="2" t="s">
        <v>32</v>
      </c>
      <c r="D25" s="2" t="s">
        <v>13</v>
      </c>
      <c r="E25" s="73">
        <v>220</v>
      </c>
      <c r="F25" s="23">
        <v>4857.03</v>
      </c>
      <c r="G25" s="23">
        <v>4854.93</v>
      </c>
      <c r="H25" s="85">
        <v>-4.3199999999999998E-4</v>
      </c>
      <c r="J25" s="2">
        <f t="shared" si="1"/>
        <v>41821</v>
      </c>
      <c r="K25" s="33" t="s">
        <v>32</v>
      </c>
      <c r="L25" s="2" t="s">
        <v>14</v>
      </c>
      <c r="M25" s="78">
        <v>220</v>
      </c>
      <c r="N25" s="23">
        <v>5597.18</v>
      </c>
      <c r="O25" s="23">
        <v>5589.72</v>
      </c>
      <c r="P25" s="27">
        <v>-1.333E-3</v>
      </c>
      <c r="Q25" s="31" t="s">
        <v>15</v>
      </c>
      <c r="R25" s="78">
        <v>220</v>
      </c>
      <c r="S25" s="24">
        <v>4719.3999999999996</v>
      </c>
      <c r="T25" s="23">
        <v>4717.12</v>
      </c>
      <c r="U25" s="85">
        <v>-4.8299999999999998E-4</v>
      </c>
    </row>
    <row r="26" spans="1:22" x14ac:dyDescent="0.2">
      <c r="A26" s="1"/>
      <c r="B26" s="38">
        <f t="shared" si="0"/>
        <v>41852</v>
      </c>
      <c r="C26" s="38" t="s">
        <v>32</v>
      </c>
      <c r="D26" s="38" t="s">
        <v>13</v>
      </c>
      <c r="E26" s="72">
        <v>220</v>
      </c>
      <c r="F26" s="35">
        <v>4857.03</v>
      </c>
      <c r="G26" s="35">
        <v>4889.2</v>
      </c>
      <c r="H26" s="84">
        <v>6.6230000000000004E-3</v>
      </c>
      <c r="J26" s="38">
        <f t="shared" si="1"/>
        <v>41852</v>
      </c>
      <c r="K26" s="34" t="s">
        <v>32</v>
      </c>
      <c r="L26" s="38" t="s">
        <v>14</v>
      </c>
      <c r="M26" s="77">
        <v>220</v>
      </c>
      <c r="N26" s="35">
        <v>5597.18</v>
      </c>
      <c r="O26" s="35">
        <v>5636.59</v>
      </c>
      <c r="P26" s="42">
        <v>7.0410000000000004E-3</v>
      </c>
      <c r="Q26" s="37" t="s">
        <v>15</v>
      </c>
      <c r="R26" s="77">
        <v>220</v>
      </c>
      <c r="S26" s="36">
        <v>4719.3999999999996</v>
      </c>
      <c r="T26" s="35">
        <v>4751.7</v>
      </c>
      <c r="U26" s="84">
        <v>6.8440000000000003E-3</v>
      </c>
    </row>
    <row r="27" spans="1:22" ht="13.5" thickBot="1" x14ac:dyDescent="0.25">
      <c r="A27" s="1"/>
      <c r="B27" s="2">
        <f t="shared" si="0"/>
        <v>41883</v>
      </c>
      <c r="C27" s="2" t="s">
        <v>32</v>
      </c>
      <c r="D27" s="2" t="s">
        <v>13</v>
      </c>
      <c r="E27" s="73">
        <v>220</v>
      </c>
      <c r="F27" s="23">
        <v>4857.03</v>
      </c>
      <c r="G27" s="23">
        <v>5031.4799999999996</v>
      </c>
      <c r="H27" s="85">
        <v>3.5916999999999998E-2</v>
      </c>
      <c r="J27" s="91">
        <f t="shared" si="1"/>
        <v>41883</v>
      </c>
      <c r="K27" s="92" t="s">
        <v>32</v>
      </c>
      <c r="L27" s="91" t="s">
        <v>14</v>
      </c>
      <c r="M27" s="93">
        <v>220</v>
      </c>
      <c r="N27" s="94">
        <v>5597.18</v>
      </c>
      <c r="O27" s="94">
        <v>5805.37</v>
      </c>
      <c r="P27" s="95">
        <v>3.7196E-2</v>
      </c>
      <c r="Q27" s="96" t="s">
        <v>15</v>
      </c>
      <c r="R27" s="93">
        <v>220</v>
      </c>
      <c r="S27" s="97">
        <v>4719.3999999999996</v>
      </c>
      <c r="T27" s="94">
        <v>4889.76</v>
      </c>
      <c r="U27" s="98">
        <v>3.6097999999999998E-2</v>
      </c>
      <c r="V27" s="1"/>
    </row>
    <row r="28" spans="1:22" ht="13.5" thickBot="1" x14ac:dyDescent="0.25">
      <c r="A28" s="1"/>
      <c r="B28" s="57">
        <f t="shared" si="0"/>
        <v>41913</v>
      </c>
      <c r="C28" s="57" t="s">
        <v>32</v>
      </c>
      <c r="D28" s="57" t="s">
        <v>13</v>
      </c>
      <c r="E28" s="74">
        <v>220</v>
      </c>
      <c r="F28" s="52">
        <v>4857.03</v>
      </c>
      <c r="G28" s="52">
        <v>5110.91</v>
      </c>
      <c r="H28" s="86">
        <v>5.2270999999999998E-2</v>
      </c>
      <c r="J28" s="99">
        <f t="shared" si="1"/>
        <v>41913</v>
      </c>
      <c r="K28" s="100" t="s">
        <v>33</v>
      </c>
      <c r="L28" s="99" t="s">
        <v>14</v>
      </c>
      <c r="M28" s="101">
        <v>220</v>
      </c>
      <c r="N28" s="102">
        <v>5906.69</v>
      </c>
      <c r="O28" s="102">
        <v>5906.69</v>
      </c>
      <c r="P28" s="103">
        <v>0</v>
      </c>
      <c r="Q28" s="104" t="s">
        <v>15</v>
      </c>
      <c r="R28" s="101">
        <v>220</v>
      </c>
      <c r="S28" s="105">
        <v>4968.46</v>
      </c>
      <c r="T28" s="102">
        <v>4968.45</v>
      </c>
      <c r="U28" s="106">
        <v>-1.9999999999999999E-6</v>
      </c>
      <c r="V28" s="1"/>
    </row>
    <row r="29" spans="1:22" x14ac:dyDescent="0.2">
      <c r="A29" s="1"/>
      <c r="B29" s="56">
        <f t="shared" si="0"/>
        <v>41944</v>
      </c>
      <c r="C29" s="56" t="s">
        <v>34</v>
      </c>
      <c r="D29" s="56" t="s">
        <v>13</v>
      </c>
      <c r="E29" s="71">
        <v>220</v>
      </c>
      <c r="F29" s="61">
        <v>5102.8900000000003</v>
      </c>
      <c r="G29" s="61">
        <v>5097.9799999999996</v>
      </c>
      <c r="H29" s="87">
        <v>-9.6199999999999996E-4</v>
      </c>
      <c r="J29" s="55">
        <f t="shared" si="1"/>
        <v>41944</v>
      </c>
      <c r="K29" s="43" t="s">
        <v>34</v>
      </c>
      <c r="L29" s="55" t="s">
        <v>14</v>
      </c>
      <c r="M29" s="80">
        <v>220</v>
      </c>
      <c r="N29" s="44">
        <v>5898.97</v>
      </c>
      <c r="O29" s="44">
        <v>5890.31</v>
      </c>
      <c r="P29" s="58">
        <v>-1.4679999999999999E-3</v>
      </c>
      <c r="Q29" s="46" t="s">
        <v>15</v>
      </c>
      <c r="R29" s="80">
        <v>220</v>
      </c>
      <c r="S29" s="45">
        <v>4960.99</v>
      </c>
      <c r="T29" s="44">
        <v>4956.01</v>
      </c>
      <c r="U29" s="88">
        <v>-1.0039999999999999E-3</v>
      </c>
      <c r="V29" s="1"/>
    </row>
    <row r="30" spans="1:22" x14ac:dyDescent="0.2">
      <c r="A30" s="1"/>
      <c r="B30" s="38">
        <f t="shared" si="0"/>
        <v>41974</v>
      </c>
      <c r="C30" s="38" t="s">
        <v>34</v>
      </c>
      <c r="D30" s="38" t="s">
        <v>13</v>
      </c>
      <c r="E30" s="72">
        <v>220</v>
      </c>
      <c r="F30" s="35">
        <v>5102.8900000000003</v>
      </c>
      <c r="G30" s="35">
        <v>5137.87</v>
      </c>
      <c r="H30" s="84">
        <v>6.855E-3</v>
      </c>
      <c r="J30" s="38">
        <f t="shared" si="1"/>
        <v>41974</v>
      </c>
      <c r="K30" s="34" t="s">
        <v>34</v>
      </c>
      <c r="L30" s="38" t="s">
        <v>14</v>
      </c>
      <c r="M30" s="77">
        <v>220</v>
      </c>
      <c r="N30" s="35">
        <v>5898.97</v>
      </c>
      <c r="O30" s="35">
        <v>5935.24</v>
      </c>
      <c r="P30" s="42">
        <v>6.149E-3</v>
      </c>
      <c r="Q30" s="37" t="s">
        <v>15</v>
      </c>
      <c r="R30" s="77">
        <v>220</v>
      </c>
      <c r="S30" s="36">
        <v>4960.99</v>
      </c>
      <c r="T30" s="35">
        <v>4994.66</v>
      </c>
      <c r="U30" s="84">
        <v>6.7869999999999996E-3</v>
      </c>
      <c r="V30" s="1"/>
    </row>
    <row r="31" spans="1:22" x14ac:dyDescent="0.2">
      <c r="A31" s="1"/>
      <c r="B31" s="2">
        <f t="shared" si="0"/>
        <v>42005</v>
      </c>
      <c r="C31" s="2" t="s">
        <v>34</v>
      </c>
      <c r="D31" s="2" t="s">
        <v>13</v>
      </c>
      <c r="E31" s="73">
        <v>220</v>
      </c>
      <c r="F31" s="23">
        <v>5102.8900000000003</v>
      </c>
      <c r="G31" s="23">
        <v>5235.88</v>
      </c>
      <c r="H31" s="85">
        <v>2.6061999999999998E-2</v>
      </c>
      <c r="J31" s="2">
        <f t="shared" si="1"/>
        <v>42005</v>
      </c>
      <c r="K31" s="33" t="s">
        <v>34</v>
      </c>
      <c r="L31" s="2" t="s">
        <v>14</v>
      </c>
      <c r="M31" s="78">
        <v>220</v>
      </c>
      <c r="N31" s="23">
        <v>5898.97</v>
      </c>
      <c r="O31" s="23">
        <v>6055.37</v>
      </c>
      <c r="P31" s="27">
        <v>2.6512999999999998E-2</v>
      </c>
      <c r="Q31" s="31" t="s">
        <v>15</v>
      </c>
      <c r="R31" s="78">
        <v>220</v>
      </c>
      <c r="S31" s="24">
        <v>4960.99</v>
      </c>
      <c r="T31" s="23">
        <v>5090.53</v>
      </c>
      <c r="U31" s="85">
        <v>2.6112E-2</v>
      </c>
      <c r="V31" s="1"/>
    </row>
    <row r="32" spans="1:22" x14ac:dyDescent="0.2">
      <c r="A32" s="1"/>
      <c r="B32" s="38">
        <f t="shared" si="0"/>
        <v>42036</v>
      </c>
      <c r="C32" s="38" t="s">
        <v>34</v>
      </c>
      <c r="D32" s="38" t="s">
        <v>13</v>
      </c>
      <c r="E32" s="72">
        <v>220</v>
      </c>
      <c r="F32" s="35">
        <v>5102.8900000000003</v>
      </c>
      <c r="G32" s="35">
        <v>5280.49</v>
      </c>
      <c r="H32" s="84">
        <v>3.4804000000000002E-2</v>
      </c>
      <c r="J32" s="38">
        <f t="shared" si="1"/>
        <v>42036</v>
      </c>
      <c r="K32" s="34" t="s">
        <v>34</v>
      </c>
      <c r="L32" s="38" t="s">
        <v>14</v>
      </c>
      <c r="M32" s="77">
        <v>220</v>
      </c>
      <c r="N32" s="35">
        <v>5898.97</v>
      </c>
      <c r="O32" s="35">
        <v>6103.21</v>
      </c>
      <c r="P32" s="42">
        <v>3.4623000000000001E-2</v>
      </c>
      <c r="Q32" s="37" t="s">
        <v>15</v>
      </c>
      <c r="R32" s="77">
        <v>220</v>
      </c>
      <c r="S32" s="36">
        <v>4960.99</v>
      </c>
      <c r="T32" s="35">
        <v>5132.5</v>
      </c>
      <c r="U32" s="84">
        <v>3.4571999999999999E-2</v>
      </c>
      <c r="V32" s="1"/>
    </row>
    <row r="33" spans="2:21" x14ac:dyDescent="0.2">
      <c r="B33" s="2">
        <f t="shared" si="0"/>
        <v>42064</v>
      </c>
      <c r="C33" s="2" t="s">
        <v>34</v>
      </c>
      <c r="D33" s="2" t="s">
        <v>13</v>
      </c>
      <c r="E33" s="73">
        <v>220</v>
      </c>
      <c r="F33" s="23">
        <v>5102.8900000000003</v>
      </c>
      <c r="G33" s="23">
        <v>5313.98</v>
      </c>
      <c r="H33" s="85">
        <v>4.1367000000000001E-2</v>
      </c>
      <c r="J33" s="2">
        <f t="shared" si="1"/>
        <v>42064</v>
      </c>
      <c r="K33" s="33" t="s">
        <v>34</v>
      </c>
      <c r="L33" s="2" t="s">
        <v>14</v>
      </c>
      <c r="M33" s="78">
        <v>220</v>
      </c>
      <c r="N33" s="23">
        <v>5898.97</v>
      </c>
      <c r="O33" s="23">
        <v>6136.04</v>
      </c>
      <c r="P33" s="27">
        <v>4.0188000000000001E-2</v>
      </c>
      <c r="Q33" s="31" t="s">
        <v>15</v>
      </c>
      <c r="R33" s="78">
        <v>220</v>
      </c>
      <c r="S33" s="24">
        <v>4960.99</v>
      </c>
      <c r="T33" s="23">
        <v>5163.5200000000004</v>
      </c>
      <c r="U33" s="85">
        <v>4.0825E-2</v>
      </c>
    </row>
    <row r="34" spans="2:21" ht="13.5" thickBot="1" x14ac:dyDescent="0.25">
      <c r="B34" s="57">
        <f t="shared" si="0"/>
        <v>42095</v>
      </c>
      <c r="C34" s="57" t="s">
        <v>34</v>
      </c>
      <c r="D34" s="57" t="s">
        <v>13</v>
      </c>
      <c r="E34" s="74">
        <v>220</v>
      </c>
      <c r="F34" s="52">
        <v>5102.8900000000003</v>
      </c>
      <c r="G34" s="52">
        <v>5346.35</v>
      </c>
      <c r="H34" s="86">
        <v>4.7710000000000002E-2</v>
      </c>
      <c r="J34" s="57">
        <f t="shared" si="1"/>
        <v>42095</v>
      </c>
      <c r="K34" s="51" t="s">
        <v>34</v>
      </c>
      <c r="L34" s="57" t="s">
        <v>14</v>
      </c>
      <c r="M34" s="79">
        <v>220</v>
      </c>
      <c r="N34" s="52">
        <v>5898.97</v>
      </c>
      <c r="O34" s="52">
        <v>6161.16</v>
      </c>
      <c r="P34" s="60">
        <v>4.4447E-2</v>
      </c>
      <c r="Q34" s="54" t="s">
        <v>15</v>
      </c>
      <c r="R34" s="79">
        <v>220</v>
      </c>
      <c r="S34" s="53">
        <v>4960.99</v>
      </c>
      <c r="T34" s="52">
        <v>5192.2299999999996</v>
      </c>
      <c r="U34" s="86">
        <v>4.6612000000000001E-2</v>
      </c>
    </row>
    <row r="35" spans="2:21" x14ac:dyDescent="0.2">
      <c r="B35" s="56">
        <f t="shared" si="0"/>
        <v>42125</v>
      </c>
      <c r="C35" s="56" t="s">
        <v>41</v>
      </c>
      <c r="D35" s="56" t="s">
        <v>13</v>
      </c>
      <c r="E35" s="71">
        <v>220</v>
      </c>
      <c r="F35" s="61">
        <v>5338.29</v>
      </c>
      <c r="G35" s="61">
        <v>5277.64</v>
      </c>
      <c r="H35" s="87">
        <v>-1.1361E-2</v>
      </c>
      <c r="J35" s="56">
        <f t="shared" si="1"/>
        <v>42125</v>
      </c>
      <c r="K35" s="47" t="s">
        <v>41</v>
      </c>
      <c r="L35" s="56" t="s">
        <v>14</v>
      </c>
      <c r="M35" s="76">
        <v>220</v>
      </c>
      <c r="N35" s="61">
        <v>6154.02</v>
      </c>
      <c r="O35" s="61">
        <v>6068.78</v>
      </c>
      <c r="P35" s="63">
        <v>-1.3851E-2</v>
      </c>
      <c r="Q35" s="50" t="s">
        <v>15</v>
      </c>
      <c r="R35" s="76">
        <v>220</v>
      </c>
      <c r="S35" s="62">
        <v>5184.9399999999996</v>
      </c>
      <c r="T35" s="61">
        <v>5123.58</v>
      </c>
      <c r="U35" s="87">
        <v>-1.1834000000000001E-2</v>
      </c>
    </row>
    <row r="36" spans="2:21" x14ac:dyDescent="0.2">
      <c r="B36" s="38">
        <f t="shared" si="0"/>
        <v>42156</v>
      </c>
      <c r="C36" s="38" t="s">
        <v>41</v>
      </c>
      <c r="D36" s="38" t="s">
        <v>13</v>
      </c>
      <c r="E36" s="72">
        <v>220</v>
      </c>
      <c r="F36" s="35">
        <v>5338.29</v>
      </c>
      <c r="G36" s="35">
        <v>5250.42</v>
      </c>
      <c r="H36" s="84">
        <v>-1.6459999999999999E-2</v>
      </c>
      <c r="J36" s="38">
        <f t="shared" si="1"/>
        <v>42156</v>
      </c>
      <c r="K36" s="34" t="s">
        <v>41</v>
      </c>
      <c r="L36" s="38" t="s">
        <v>14</v>
      </c>
      <c r="M36" s="77">
        <v>220</v>
      </c>
      <c r="N36" s="35">
        <v>6154.02</v>
      </c>
      <c r="O36" s="35">
        <v>6018.41</v>
      </c>
      <c r="P36" s="42">
        <v>-2.2036E-2</v>
      </c>
      <c r="Q36" s="37" t="s">
        <v>15</v>
      </c>
      <c r="R36" s="77">
        <v>220</v>
      </c>
      <c r="S36" s="36">
        <v>5184.9399999999996</v>
      </c>
      <c r="T36" s="35">
        <v>5093.58</v>
      </c>
      <c r="U36" s="84">
        <v>-1.762E-2</v>
      </c>
    </row>
    <row r="37" spans="2:21" x14ac:dyDescent="0.2">
      <c r="B37" s="2">
        <f t="shared" si="0"/>
        <v>42186</v>
      </c>
      <c r="C37" s="2" t="s">
        <v>41</v>
      </c>
      <c r="D37" s="2" t="s">
        <v>13</v>
      </c>
      <c r="E37" s="73">
        <v>220</v>
      </c>
      <c r="F37" s="23">
        <v>5338.29</v>
      </c>
      <c r="G37" s="23">
        <v>5307.61</v>
      </c>
      <c r="H37" s="85">
        <v>-5.7470000000000004E-3</v>
      </c>
      <c r="J37" s="2">
        <f t="shared" si="1"/>
        <v>42186</v>
      </c>
      <c r="K37" s="33" t="s">
        <v>41</v>
      </c>
      <c r="L37" s="2" t="s">
        <v>14</v>
      </c>
      <c r="M37" s="78">
        <v>220</v>
      </c>
      <c r="N37" s="23">
        <v>6154.02</v>
      </c>
      <c r="O37" s="23">
        <v>6081.17</v>
      </c>
      <c r="P37" s="27">
        <v>-1.1838E-2</v>
      </c>
      <c r="Q37" s="31" t="s">
        <v>15</v>
      </c>
      <c r="R37" s="78">
        <v>220</v>
      </c>
      <c r="S37" s="24">
        <v>5184.9399999999996</v>
      </c>
      <c r="T37" s="23">
        <v>5148.03</v>
      </c>
      <c r="U37" s="85">
        <v>-7.1190000000000003E-3</v>
      </c>
    </row>
    <row r="38" spans="2:21" x14ac:dyDescent="0.2">
      <c r="B38" s="38">
        <f t="shared" si="0"/>
        <v>42217</v>
      </c>
      <c r="C38" s="38" t="s">
        <v>41</v>
      </c>
      <c r="D38" s="38" t="s">
        <v>13</v>
      </c>
      <c r="E38" s="72">
        <v>220</v>
      </c>
      <c r="F38" s="35">
        <v>5338.29</v>
      </c>
      <c r="G38" s="35">
        <v>5426.3</v>
      </c>
      <c r="H38" s="84">
        <v>1.6487000000000002E-2</v>
      </c>
      <c r="J38" s="38">
        <f t="shared" si="1"/>
        <v>42217</v>
      </c>
      <c r="K38" s="34" t="s">
        <v>41</v>
      </c>
      <c r="L38" s="38" t="s">
        <v>14</v>
      </c>
      <c r="M38" s="77">
        <v>220</v>
      </c>
      <c r="N38" s="35">
        <v>6154.02</v>
      </c>
      <c r="O38" s="35">
        <v>6216.37</v>
      </c>
      <c r="P38" s="42">
        <v>1.0132E-2</v>
      </c>
      <c r="Q38" s="37" t="s">
        <v>15</v>
      </c>
      <c r="R38" s="77">
        <v>220</v>
      </c>
      <c r="S38" s="36">
        <v>5184.9399999999996</v>
      </c>
      <c r="T38" s="35">
        <v>5262.13</v>
      </c>
      <c r="U38" s="84">
        <v>1.4886999999999999E-2</v>
      </c>
    </row>
    <row r="39" spans="2:21" x14ac:dyDescent="0.2">
      <c r="B39" s="2">
        <f t="shared" si="0"/>
        <v>42248</v>
      </c>
      <c r="C39" s="2" t="s">
        <v>41</v>
      </c>
      <c r="D39" s="2" t="s">
        <v>13</v>
      </c>
      <c r="E39" s="73">
        <v>220</v>
      </c>
      <c r="F39" s="107">
        <v>5338.29</v>
      </c>
      <c r="G39" s="107">
        <v>5657.76</v>
      </c>
      <c r="H39" s="108">
        <v>5.9845000000000002E-2</v>
      </c>
      <c r="J39" s="2">
        <f t="shared" si="1"/>
        <v>42248</v>
      </c>
      <c r="K39" s="33" t="s">
        <v>41</v>
      </c>
      <c r="L39" s="2" t="s">
        <v>14</v>
      </c>
      <c r="M39" s="78">
        <v>220</v>
      </c>
      <c r="N39" s="107">
        <v>6154.02</v>
      </c>
      <c r="O39" s="107">
        <v>6486.5</v>
      </c>
      <c r="P39" s="109">
        <v>5.4025999999999998E-2</v>
      </c>
      <c r="Q39" s="31" t="s">
        <v>15</v>
      </c>
      <c r="R39" s="78">
        <v>220</v>
      </c>
      <c r="S39" s="110">
        <v>5184.9399999999996</v>
      </c>
      <c r="T39" s="107">
        <v>5485.81</v>
      </c>
      <c r="U39" s="108">
        <v>5.8028000000000003E-2</v>
      </c>
    </row>
    <row r="40" spans="2:21" ht="13.5" thickBot="1" x14ac:dyDescent="0.25">
      <c r="B40" s="57">
        <f t="shared" si="0"/>
        <v>42278</v>
      </c>
      <c r="C40" s="57" t="s">
        <v>41</v>
      </c>
      <c r="D40" s="57" t="s">
        <v>13</v>
      </c>
      <c r="E40" s="74">
        <v>220</v>
      </c>
      <c r="F40" s="52">
        <v>5338.29</v>
      </c>
      <c r="G40" s="52">
        <v>5656.77</v>
      </c>
      <c r="H40" s="86">
        <v>5.9659999999999998E-2</v>
      </c>
      <c r="J40" s="57">
        <f t="shared" si="1"/>
        <v>42278</v>
      </c>
      <c r="K40" s="51" t="s">
        <v>41</v>
      </c>
      <c r="L40" s="57" t="s">
        <v>14</v>
      </c>
      <c r="M40" s="79">
        <v>220</v>
      </c>
      <c r="N40" s="52">
        <v>6154.02</v>
      </c>
      <c r="O40" s="52">
        <v>6489.39</v>
      </c>
      <c r="P40" s="60">
        <v>5.4496000000000003E-2</v>
      </c>
      <c r="Q40" s="54" t="s">
        <v>15</v>
      </c>
      <c r="R40" s="79">
        <v>220</v>
      </c>
      <c r="S40" s="53">
        <v>5184.9399999999996</v>
      </c>
      <c r="T40" s="52">
        <v>5486.05</v>
      </c>
      <c r="U40" s="86">
        <v>5.8074000000000001E-2</v>
      </c>
    </row>
    <row r="41" spans="2:21" x14ac:dyDescent="0.2">
      <c r="B41" s="56">
        <f t="shared" si="0"/>
        <v>42309</v>
      </c>
      <c r="C41" s="56" t="s">
        <v>43</v>
      </c>
      <c r="D41" s="56" t="s">
        <v>13</v>
      </c>
      <c r="E41" s="71">
        <v>220</v>
      </c>
      <c r="F41" s="61">
        <v>5645.62</v>
      </c>
      <c r="G41" s="61">
        <v>5640.09</v>
      </c>
      <c r="H41" s="87">
        <v>-9.7999999999999997E-4</v>
      </c>
      <c r="J41" s="56">
        <f t="shared" si="1"/>
        <v>42309</v>
      </c>
      <c r="K41" s="47" t="s">
        <v>43</v>
      </c>
      <c r="L41" s="56" t="s">
        <v>14</v>
      </c>
      <c r="M41" s="76">
        <v>220</v>
      </c>
      <c r="N41" s="61">
        <v>6479.43</v>
      </c>
      <c r="O41" s="61">
        <v>6479.05</v>
      </c>
      <c r="P41" s="63">
        <v>-5.8999999999999998E-5</v>
      </c>
      <c r="Q41" s="50" t="s">
        <v>15</v>
      </c>
      <c r="R41" s="76">
        <v>220</v>
      </c>
      <c r="S41" s="62">
        <v>5476.01</v>
      </c>
      <c r="T41" s="61">
        <v>5472.22</v>
      </c>
      <c r="U41" s="87">
        <v>-6.9200000000000002E-4</v>
      </c>
    </row>
    <row r="42" spans="2:21" x14ac:dyDescent="0.2">
      <c r="B42" s="38">
        <f t="shared" si="0"/>
        <v>42339</v>
      </c>
      <c r="C42" s="38" t="s">
        <v>43</v>
      </c>
      <c r="D42" s="38" t="s">
        <v>13</v>
      </c>
      <c r="E42" s="72">
        <v>220</v>
      </c>
      <c r="F42" s="35">
        <v>5645.62</v>
      </c>
      <c r="G42" s="35">
        <v>5711.28</v>
      </c>
      <c r="H42" s="84">
        <v>1.163E-2</v>
      </c>
      <c r="J42" s="38">
        <f t="shared" si="1"/>
        <v>42339</v>
      </c>
      <c r="K42" s="34" t="s">
        <v>43</v>
      </c>
      <c r="L42" s="38" t="s">
        <v>14</v>
      </c>
      <c r="M42" s="77">
        <v>220</v>
      </c>
      <c r="N42" s="35">
        <v>6479.43</v>
      </c>
      <c r="O42" s="35">
        <v>6578.83</v>
      </c>
      <c r="P42" s="42">
        <v>1.5341E-2</v>
      </c>
      <c r="Q42" s="37" t="s">
        <v>15</v>
      </c>
      <c r="R42" s="77">
        <v>220</v>
      </c>
      <c r="S42" s="36">
        <v>5476.01</v>
      </c>
      <c r="T42" s="35">
        <v>5544.74</v>
      </c>
      <c r="U42" s="84">
        <v>1.2551E-2</v>
      </c>
    </row>
    <row r="43" spans="2:21" x14ac:dyDescent="0.2">
      <c r="B43" s="2">
        <f t="shared" si="0"/>
        <v>42370</v>
      </c>
      <c r="C43" s="2" t="s">
        <v>43</v>
      </c>
      <c r="D43" s="2" t="s">
        <v>13</v>
      </c>
      <c r="E43" s="73">
        <v>220</v>
      </c>
      <c r="F43" s="23">
        <v>5645.62</v>
      </c>
      <c r="G43" s="23">
        <v>5761.72</v>
      </c>
      <c r="H43" s="85">
        <v>2.0565E-2</v>
      </c>
      <c r="J43" s="2">
        <f t="shared" si="1"/>
        <v>42370</v>
      </c>
      <c r="K43" s="33" t="s">
        <v>43</v>
      </c>
      <c r="L43" s="2" t="s">
        <v>14</v>
      </c>
      <c r="M43" s="78">
        <v>220</v>
      </c>
      <c r="N43" s="23">
        <v>6479.43</v>
      </c>
      <c r="O43" s="23">
        <v>6621.86</v>
      </c>
      <c r="P43" s="27">
        <v>2.1982000000000002E-2</v>
      </c>
      <c r="Q43" s="31" t="s">
        <v>15</v>
      </c>
      <c r="R43" s="78">
        <v>220</v>
      </c>
      <c r="S43" s="24">
        <v>5476.01</v>
      </c>
      <c r="T43" s="23">
        <v>5590.03</v>
      </c>
      <c r="U43" s="85">
        <v>2.0822E-2</v>
      </c>
    </row>
    <row r="44" spans="2:21" x14ac:dyDescent="0.2">
      <c r="B44" s="38">
        <f t="shared" si="0"/>
        <v>42401</v>
      </c>
      <c r="C44" s="38" t="s">
        <v>43</v>
      </c>
      <c r="D44" s="38" t="s">
        <v>13</v>
      </c>
      <c r="E44" s="72">
        <v>220</v>
      </c>
      <c r="F44" s="35">
        <v>5645.62</v>
      </c>
      <c r="G44" s="35">
        <v>5810.66</v>
      </c>
      <c r="H44" s="84">
        <v>2.9232999999999999E-2</v>
      </c>
      <c r="J44" s="38">
        <f t="shared" si="1"/>
        <v>42401</v>
      </c>
      <c r="K44" s="34" t="s">
        <v>43</v>
      </c>
      <c r="L44" s="38" t="s">
        <v>14</v>
      </c>
      <c r="M44" s="77">
        <v>220</v>
      </c>
      <c r="N44" s="35">
        <v>6479.43</v>
      </c>
      <c r="O44" s="35">
        <v>6681.52</v>
      </c>
      <c r="P44" s="42">
        <v>3.1189000000000001E-2</v>
      </c>
      <c r="Q44" s="37" t="s">
        <v>15</v>
      </c>
      <c r="R44" s="77">
        <v>220</v>
      </c>
      <c r="S44" s="36">
        <v>5476.01</v>
      </c>
      <c r="T44" s="35">
        <v>5637.83</v>
      </c>
      <c r="U44" s="84">
        <v>2.9551000000000001E-2</v>
      </c>
    </row>
    <row r="45" spans="2:21" x14ac:dyDescent="0.2">
      <c r="B45" s="2">
        <f t="shared" si="0"/>
        <v>42430</v>
      </c>
      <c r="C45" s="2" t="s">
        <v>43</v>
      </c>
      <c r="D45" s="2" t="s">
        <v>13</v>
      </c>
      <c r="E45" s="73">
        <v>220</v>
      </c>
      <c r="F45" s="23">
        <v>5645.62</v>
      </c>
      <c r="G45" s="23">
        <v>5732.99</v>
      </c>
      <c r="H45" s="85">
        <v>1.5476E-2</v>
      </c>
      <c r="J45" s="2">
        <f t="shared" si="1"/>
        <v>42430</v>
      </c>
      <c r="K45" s="33" t="s">
        <v>43</v>
      </c>
      <c r="L45" s="2" t="s">
        <v>14</v>
      </c>
      <c r="M45" s="78">
        <v>220</v>
      </c>
      <c r="N45" s="23">
        <v>6479.43</v>
      </c>
      <c r="O45" s="23">
        <v>6572.57</v>
      </c>
      <c r="P45" s="27">
        <v>1.4375000000000001E-2</v>
      </c>
      <c r="Q45" s="31" t="s">
        <v>15</v>
      </c>
      <c r="R45" s="78">
        <v>220</v>
      </c>
      <c r="S45" s="24">
        <v>5476.01</v>
      </c>
      <c r="T45" s="23">
        <v>5559.14</v>
      </c>
      <c r="U45" s="85">
        <v>1.5181E-2</v>
      </c>
    </row>
    <row r="46" spans="2:21" ht="13.5" thickBot="1" x14ac:dyDescent="0.25">
      <c r="B46" s="57">
        <f t="shared" si="0"/>
        <v>42461</v>
      </c>
      <c r="C46" s="57" t="s">
        <v>43</v>
      </c>
      <c r="D46" s="57" t="s">
        <v>13</v>
      </c>
      <c r="E46" s="74">
        <v>220</v>
      </c>
      <c r="F46" s="52">
        <v>5645.62</v>
      </c>
      <c r="G46" s="52">
        <v>5623.97</v>
      </c>
      <c r="H46" s="86">
        <v>-3.8349999999999999E-3</v>
      </c>
      <c r="J46" s="57">
        <f t="shared" si="1"/>
        <v>42461</v>
      </c>
      <c r="K46" s="51" t="s">
        <v>44</v>
      </c>
      <c r="L46" s="57" t="s">
        <v>14</v>
      </c>
      <c r="M46" s="79">
        <v>220</v>
      </c>
      <c r="N46" s="52">
        <v>6479.43</v>
      </c>
      <c r="O46" s="52">
        <v>6434.8</v>
      </c>
      <c r="P46" s="60">
        <v>-6.888E-3</v>
      </c>
      <c r="Q46" s="54" t="s">
        <v>15</v>
      </c>
      <c r="R46" s="79">
        <v>220</v>
      </c>
      <c r="S46" s="53">
        <v>5476.01</v>
      </c>
      <c r="T46" s="52">
        <v>5451.75</v>
      </c>
      <c r="U46" s="86">
        <v>-4.4299999999999999E-3</v>
      </c>
    </row>
    <row r="47" spans="2:21" x14ac:dyDescent="0.2">
      <c r="B47" s="56">
        <f t="shared" si="0"/>
        <v>42491</v>
      </c>
      <c r="C47" s="56" t="s">
        <v>45</v>
      </c>
      <c r="D47" s="56" t="s">
        <v>13</v>
      </c>
      <c r="E47" s="71">
        <v>220</v>
      </c>
      <c r="F47" s="61">
        <v>5627.69</v>
      </c>
      <c r="G47" s="61">
        <v>5567.09</v>
      </c>
      <c r="H47" s="87">
        <v>-1.0768E-2</v>
      </c>
      <c r="J47" s="56">
        <f t="shared" si="1"/>
        <v>42491</v>
      </c>
      <c r="K47" s="47" t="s">
        <v>45</v>
      </c>
      <c r="L47" s="56" t="s">
        <v>14</v>
      </c>
      <c r="M47" s="76">
        <v>220</v>
      </c>
      <c r="N47" s="61">
        <v>6438.54</v>
      </c>
      <c r="O47" s="61">
        <v>6358.68</v>
      </c>
      <c r="P47" s="63">
        <v>-1.2403000000000001E-2</v>
      </c>
      <c r="Q47" s="50" t="s">
        <v>15</v>
      </c>
      <c r="R47" s="76">
        <v>220</v>
      </c>
      <c r="S47" s="62">
        <v>5455.2</v>
      </c>
      <c r="T47" s="61">
        <v>5394.92</v>
      </c>
      <c r="U47" s="87">
        <v>-1.1050000000000001E-2</v>
      </c>
    </row>
    <row r="48" spans="2:21" x14ac:dyDescent="0.2">
      <c r="B48" s="38">
        <f t="shared" ref="B48:B53" si="2">+DATE(YEAR(B47),MONTH(B47)+1,1)</f>
        <v>42522</v>
      </c>
      <c r="C48" s="38" t="s">
        <v>45</v>
      </c>
      <c r="D48" s="38" t="s">
        <v>13</v>
      </c>
      <c r="E48" s="72">
        <v>220</v>
      </c>
      <c r="F48" s="35">
        <v>5627.69</v>
      </c>
      <c r="G48" s="35">
        <v>5634.42</v>
      </c>
      <c r="H48" s="84">
        <v>1.196E-3</v>
      </c>
      <c r="J48" s="38">
        <f t="shared" ref="J48:J53" si="3">+DATE(YEAR(J47),MONTH(J47)+1,1)</f>
        <v>42522</v>
      </c>
      <c r="K48" s="34" t="s">
        <v>45</v>
      </c>
      <c r="L48" s="38" t="s">
        <v>14</v>
      </c>
      <c r="M48" s="77">
        <v>220</v>
      </c>
      <c r="N48" s="35">
        <v>6438.54</v>
      </c>
      <c r="O48" s="35">
        <v>6427.58</v>
      </c>
      <c r="P48" s="42">
        <v>-1.702E-3</v>
      </c>
      <c r="Q48" s="37" t="s">
        <v>15</v>
      </c>
      <c r="R48" s="77">
        <v>220</v>
      </c>
      <c r="S48" s="36">
        <v>5455.2</v>
      </c>
      <c r="T48" s="35">
        <v>5458.01</v>
      </c>
      <c r="U48" s="84">
        <v>5.1500000000000005E-4</v>
      </c>
    </row>
    <row r="49" spans="2:21" x14ac:dyDescent="0.2">
      <c r="B49" s="2">
        <f t="shared" si="2"/>
        <v>42552</v>
      </c>
      <c r="C49" s="2" t="s">
        <v>45</v>
      </c>
      <c r="D49" s="2" t="s">
        <v>13</v>
      </c>
      <c r="E49" s="73">
        <v>220</v>
      </c>
      <c r="F49" s="23">
        <v>5627.69</v>
      </c>
      <c r="G49" s="23">
        <v>5624.16</v>
      </c>
      <c r="H49" s="85">
        <v>-6.2699999999999995E-4</v>
      </c>
      <c r="J49" s="2">
        <f t="shared" si="3"/>
        <v>42552</v>
      </c>
      <c r="K49" s="33" t="s">
        <v>45</v>
      </c>
      <c r="L49" s="2" t="s">
        <v>14</v>
      </c>
      <c r="M49" s="78">
        <v>220</v>
      </c>
      <c r="N49" s="23">
        <v>6438.54</v>
      </c>
      <c r="O49" s="23">
        <v>6413.36</v>
      </c>
      <c r="P49" s="27">
        <v>-3.9110000000000004E-3</v>
      </c>
      <c r="Q49" s="31" t="s">
        <v>15</v>
      </c>
      <c r="R49" s="78">
        <v>220</v>
      </c>
      <c r="S49" s="24">
        <v>5455.2</v>
      </c>
      <c r="T49" s="23">
        <v>5447.74</v>
      </c>
      <c r="U49" s="85">
        <v>-1.3680000000000001E-3</v>
      </c>
    </row>
    <row r="50" spans="2:21" x14ac:dyDescent="0.2">
      <c r="B50" s="38">
        <f t="shared" si="2"/>
        <v>42583</v>
      </c>
      <c r="C50" s="38" t="s">
        <v>45</v>
      </c>
      <c r="D50" s="38" t="s">
        <v>13</v>
      </c>
      <c r="E50" s="72">
        <v>220</v>
      </c>
      <c r="F50" s="35">
        <v>5627.69</v>
      </c>
      <c r="G50" s="35">
        <v>5517.19</v>
      </c>
      <c r="H50" s="84">
        <v>-1.9635E-2</v>
      </c>
      <c r="J50" s="38">
        <f t="shared" si="3"/>
        <v>42583</v>
      </c>
      <c r="K50" s="34" t="s">
        <v>45</v>
      </c>
      <c r="L50" s="38" t="s">
        <v>14</v>
      </c>
      <c r="M50" s="77">
        <v>220</v>
      </c>
      <c r="N50" s="35">
        <v>6438.54</v>
      </c>
      <c r="O50" s="35">
        <v>6278.72</v>
      </c>
      <c r="P50" s="42">
        <v>-2.4822E-2</v>
      </c>
      <c r="Q50" s="37" t="s">
        <v>15</v>
      </c>
      <c r="R50" s="77">
        <v>220</v>
      </c>
      <c r="S50" s="36">
        <v>5455.2</v>
      </c>
      <c r="T50" s="35">
        <v>5342.58</v>
      </c>
      <c r="U50" s="84">
        <v>-2.0645E-2</v>
      </c>
    </row>
    <row r="51" spans="2:21" x14ac:dyDescent="0.2">
      <c r="B51" s="2">
        <f t="shared" si="2"/>
        <v>42614</v>
      </c>
      <c r="C51" s="2" t="s">
        <v>45</v>
      </c>
      <c r="D51" s="2" t="s">
        <v>13</v>
      </c>
      <c r="E51" s="73">
        <v>220</v>
      </c>
      <c r="F51" s="23">
        <v>5627.69</v>
      </c>
      <c r="G51" s="23">
        <v>5534.13</v>
      </c>
      <c r="H51" s="85">
        <v>-1.6625000000000001E-2</v>
      </c>
      <c r="J51" s="2">
        <f t="shared" si="3"/>
        <v>42614</v>
      </c>
      <c r="K51" s="33" t="s">
        <v>45</v>
      </c>
      <c r="L51" s="2" t="s">
        <v>14</v>
      </c>
      <c r="M51" s="78">
        <v>220</v>
      </c>
      <c r="N51" s="23">
        <v>6438.54</v>
      </c>
      <c r="O51" s="23">
        <v>6300.62</v>
      </c>
      <c r="P51" s="27">
        <v>-2.1420999999999999E-2</v>
      </c>
      <c r="Q51" s="31" t="s">
        <v>15</v>
      </c>
      <c r="R51" s="78">
        <v>220</v>
      </c>
      <c r="S51" s="24">
        <v>5455.2</v>
      </c>
      <c r="T51" s="23">
        <v>5359.52</v>
      </c>
      <c r="U51" s="85">
        <v>-1.7538999999999999E-2</v>
      </c>
    </row>
    <row r="52" spans="2:21" x14ac:dyDescent="0.2">
      <c r="B52" s="38">
        <f t="shared" si="2"/>
        <v>42644</v>
      </c>
      <c r="C52" s="38" t="s">
        <v>45</v>
      </c>
      <c r="D52" s="38" t="s">
        <v>13</v>
      </c>
      <c r="E52" s="72">
        <v>220</v>
      </c>
      <c r="F52" s="35">
        <v>5627.69</v>
      </c>
      <c r="G52" s="35">
        <v>5573.8</v>
      </c>
      <c r="H52" s="84">
        <v>-9.5759999999999994E-3</v>
      </c>
      <c r="J52" s="38">
        <f t="shared" si="3"/>
        <v>42644</v>
      </c>
      <c r="K52" s="34" t="s">
        <v>45</v>
      </c>
      <c r="L52" s="38" t="s">
        <v>14</v>
      </c>
      <c r="M52" s="77">
        <v>220</v>
      </c>
      <c r="N52" s="35">
        <v>6438.54</v>
      </c>
      <c r="O52" s="35">
        <v>6355.32</v>
      </c>
      <c r="P52" s="42">
        <v>-1.2925000000000001E-2</v>
      </c>
      <c r="Q52" s="37" t="s">
        <v>15</v>
      </c>
      <c r="R52" s="77">
        <v>220</v>
      </c>
      <c r="S52" s="36">
        <v>5455.2</v>
      </c>
      <c r="T52" s="35">
        <v>5399.64</v>
      </c>
      <c r="U52" s="84">
        <v>-1.0185E-2</v>
      </c>
    </row>
    <row r="53" spans="2:21" x14ac:dyDescent="0.2">
      <c r="B53" s="2">
        <f t="shared" si="2"/>
        <v>42675</v>
      </c>
      <c r="C53" s="2" t="s">
        <v>45</v>
      </c>
      <c r="D53" s="2" t="s">
        <v>13</v>
      </c>
      <c r="E53" s="73">
        <v>220</v>
      </c>
      <c r="F53" s="23">
        <v>5627.69</v>
      </c>
      <c r="G53" s="23">
        <v>5564.93</v>
      </c>
      <c r="H53" s="85">
        <v>-1.1152E-2</v>
      </c>
      <c r="J53" s="2">
        <f t="shared" si="3"/>
        <v>42675</v>
      </c>
      <c r="K53" s="33" t="s">
        <v>45</v>
      </c>
      <c r="L53" s="2" t="s">
        <v>14</v>
      </c>
      <c r="M53" s="78">
        <v>220</v>
      </c>
      <c r="N53" s="23">
        <v>6438.54</v>
      </c>
      <c r="O53" s="23">
        <v>6351.43</v>
      </c>
      <c r="P53" s="27">
        <v>-1.3528999999999999E-2</v>
      </c>
      <c r="Q53" s="31" t="s">
        <v>15</v>
      </c>
      <c r="R53" s="78">
        <v>220</v>
      </c>
      <c r="S53" s="24">
        <v>5455.2</v>
      </c>
      <c r="T53" s="23">
        <v>5392.59</v>
      </c>
      <c r="U53" s="85">
        <v>-1.1476999999999999E-2</v>
      </c>
    </row>
    <row r="54" spans="2:21" x14ac:dyDescent="0.2">
      <c r="B54" s="38">
        <f t="shared" ref="B54:B83" si="4">+DATE(YEAR(B53),MONTH(B53)+1,1)</f>
        <v>42705</v>
      </c>
      <c r="C54" s="38" t="s">
        <v>45</v>
      </c>
      <c r="D54" s="38" t="s">
        <v>13</v>
      </c>
      <c r="E54" s="72">
        <v>220</v>
      </c>
      <c r="F54" s="35">
        <v>5627.69</v>
      </c>
      <c r="G54" s="35">
        <v>5603.77</v>
      </c>
      <c r="H54" s="84">
        <v>-4.2500000000000003E-3</v>
      </c>
      <c r="J54" s="38">
        <f t="shared" ref="J54:J61" si="5">+DATE(YEAR(J53),MONTH(J53)+1,1)</f>
        <v>42705</v>
      </c>
      <c r="K54" s="34" t="s">
        <v>45</v>
      </c>
      <c r="L54" s="38" t="s">
        <v>14</v>
      </c>
      <c r="M54" s="77">
        <v>220</v>
      </c>
      <c r="N54" s="35">
        <v>6438.54</v>
      </c>
      <c r="O54" s="35">
        <v>6401.76</v>
      </c>
      <c r="P54" s="42">
        <v>-5.7120000000000001E-3</v>
      </c>
      <c r="Q54" s="37" t="s">
        <v>15</v>
      </c>
      <c r="R54" s="77">
        <v>220</v>
      </c>
      <c r="S54" s="36">
        <v>5455.2</v>
      </c>
      <c r="T54" s="35">
        <v>5431.24</v>
      </c>
      <c r="U54" s="84">
        <v>-4.3920000000000001E-3</v>
      </c>
    </row>
    <row r="55" spans="2:21" x14ac:dyDescent="0.2">
      <c r="B55" s="2">
        <f t="shared" si="4"/>
        <v>42736</v>
      </c>
      <c r="C55" s="2" t="s">
        <v>45</v>
      </c>
      <c r="D55" s="2" t="s">
        <v>13</v>
      </c>
      <c r="E55" s="73">
        <v>220</v>
      </c>
      <c r="F55" s="23">
        <v>5627.69</v>
      </c>
      <c r="G55" s="23">
        <v>5613.05</v>
      </c>
      <c r="H55" s="85">
        <v>-2.601E-3</v>
      </c>
      <c r="J55" s="2">
        <f t="shared" si="5"/>
        <v>42736</v>
      </c>
      <c r="K55" s="33" t="s">
        <v>45</v>
      </c>
      <c r="L55" s="2" t="s">
        <v>14</v>
      </c>
      <c r="M55" s="78">
        <v>220</v>
      </c>
      <c r="N55" s="23">
        <v>6438.54</v>
      </c>
      <c r="O55" s="23">
        <v>6412.43</v>
      </c>
      <c r="P55" s="27">
        <v>-4.0549999999999996E-3</v>
      </c>
      <c r="Q55" s="31" t="s">
        <v>15</v>
      </c>
      <c r="R55" s="78">
        <v>220</v>
      </c>
      <c r="S55" s="24">
        <v>5455.2</v>
      </c>
      <c r="T55" s="23">
        <v>5440.2</v>
      </c>
      <c r="U55" s="85">
        <v>-2.7499999999999998E-3</v>
      </c>
    </row>
    <row r="56" spans="2:21" x14ac:dyDescent="0.2">
      <c r="B56" s="38">
        <f t="shared" si="4"/>
        <v>42767</v>
      </c>
      <c r="C56" s="38" t="s">
        <v>45</v>
      </c>
      <c r="D56" s="38" t="s">
        <v>13</v>
      </c>
      <c r="E56" s="72">
        <v>220</v>
      </c>
      <c r="F56" s="35">
        <v>5627.69</v>
      </c>
      <c r="G56" s="35">
        <v>5563.06</v>
      </c>
      <c r="H56" s="84">
        <v>-1.1483999999999999E-2</v>
      </c>
      <c r="J56" s="38">
        <f t="shared" si="5"/>
        <v>42767</v>
      </c>
      <c r="K56" s="34" t="s">
        <v>45</v>
      </c>
      <c r="L56" s="38" t="s">
        <v>14</v>
      </c>
      <c r="M56" s="77">
        <v>220</v>
      </c>
      <c r="N56" s="35">
        <v>6438.54</v>
      </c>
      <c r="O56" s="35">
        <v>6352.19</v>
      </c>
      <c r="P56" s="42">
        <v>-1.3410999999999999E-2</v>
      </c>
      <c r="Q56" s="37" t="s">
        <v>15</v>
      </c>
      <c r="R56" s="77">
        <v>220</v>
      </c>
      <c r="S56" s="36">
        <v>5455.2</v>
      </c>
      <c r="T56" s="35">
        <v>5391.42</v>
      </c>
      <c r="U56" s="84">
        <v>-1.1691999999999999E-2</v>
      </c>
    </row>
    <row r="57" spans="2:21" ht="13.5" thickBot="1" x14ac:dyDescent="0.25">
      <c r="B57" s="117">
        <f t="shared" si="4"/>
        <v>42795</v>
      </c>
      <c r="C57" s="117" t="s">
        <v>45</v>
      </c>
      <c r="D57" s="117" t="s">
        <v>13</v>
      </c>
      <c r="E57" s="127">
        <v>220</v>
      </c>
      <c r="F57" s="118">
        <v>5627.69</v>
      </c>
      <c r="G57" s="118">
        <v>5483.79</v>
      </c>
      <c r="H57" s="119">
        <v>-2.5569999999999999E-2</v>
      </c>
      <c r="J57" s="2">
        <f t="shared" si="5"/>
        <v>42795</v>
      </c>
      <c r="K57" s="33" t="s">
        <v>45</v>
      </c>
      <c r="L57" s="2" t="s">
        <v>14</v>
      </c>
      <c r="M57" s="78">
        <v>220</v>
      </c>
      <c r="N57" s="23">
        <v>6438.54</v>
      </c>
      <c r="O57" s="23">
        <v>6257.57</v>
      </c>
      <c r="P57" s="27">
        <v>-2.8107E-2</v>
      </c>
      <c r="Q57" s="31" t="s">
        <v>15</v>
      </c>
      <c r="R57" s="78">
        <v>220</v>
      </c>
      <c r="S57" s="24">
        <v>5455.2</v>
      </c>
      <c r="T57" s="23">
        <v>5314.71</v>
      </c>
      <c r="U57" s="85">
        <v>-2.5753000000000002E-2</v>
      </c>
    </row>
    <row r="58" spans="2:21" x14ac:dyDescent="0.2">
      <c r="B58" s="120">
        <f t="shared" si="4"/>
        <v>42826</v>
      </c>
      <c r="C58" s="120" t="s">
        <v>50</v>
      </c>
      <c r="D58" s="120" t="s">
        <v>13</v>
      </c>
      <c r="E58" s="128">
        <v>220</v>
      </c>
      <c r="F58" s="122">
        <v>5560.1</v>
      </c>
      <c r="G58" s="122">
        <v>5434.61</v>
      </c>
      <c r="H58" s="126">
        <v>-2.257E-2</v>
      </c>
      <c r="J58" s="120">
        <f t="shared" si="5"/>
        <v>42826</v>
      </c>
      <c r="K58" s="47" t="s">
        <v>50</v>
      </c>
      <c r="L58" s="120" t="s">
        <v>49</v>
      </c>
      <c r="M58" s="121">
        <v>220</v>
      </c>
      <c r="N58" s="122">
        <v>5619.99</v>
      </c>
      <c r="O58" s="122">
        <v>5495.53</v>
      </c>
      <c r="P58" s="123">
        <v>-2.2145999999999999E-2</v>
      </c>
      <c r="Q58" s="124" t="s">
        <v>48</v>
      </c>
      <c r="R58" s="121">
        <v>220</v>
      </c>
      <c r="S58" s="125">
        <v>5365.73</v>
      </c>
      <c r="T58" s="122">
        <v>5246.65</v>
      </c>
      <c r="U58" s="126">
        <v>-2.2193000000000001E-2</v>
      </c>
    </row>
    <row r="59" spans="2:21" x14ac:dyDescent="0.2">
      <c r="B59" s="2">
        <f t="shared" si="4"/>
        <v>42856</v>
      </c>
      <c r="C59" s="2" t="s">
        <v>50</v>
      </c>
      <c r="D59" s="2" t="s">
        <v>13</v>
      </c>
      <c r="E59" s="73">
        <v>220</v>
      </c>
      <c r="F59" s="23">
        <v>5560.1</v>
      </c>
      <c r="G59" s="111">
        <v>5537.81</v>
      </c>
      <c r="H59" s="85">
        <v>-4.0090000000000004E-3</v>
      </c>
      <c r="J59" s="2">
        <f t="shared" si="5"/>
        <v>42856</v>
      </c>
      <c r="K59" s="33" t="s">
        <v>50</v>
      </c>
      <c r="L59" s="2" t="s">
        <v>49</v>
      </c>
      <c r="M59" s="78">
        <v>220</v>
      </c>
      <c r="N59" s="23">
        <v>5619.99</v>
      </c>
      <c r="O59" s="23">
        <v>5598.56</v>
      </c>
      <c r="P59" s="27">
        <v>-3.813E-3</v>
      </c>
      <c r="Q59" s="31" t="s">
        <v>48</v>
      </c>
      <c r="R59" s="78">
        <v>220</v>
      </c>
      <c r="S59" s="24">
        <v>5365.73</v>
      </c>
      <c r="T59" s="23">
        <v>5345.16</v>
      </c>
      <c r="U59" s="85">
        <v>-3.8340000000000002E-3</v>
      </c>
    </row>
    <row r="60" spans="2:21" ht="13.5" thickBot="1" x14ac:dyDescent="0.25">
      <c r="B60" s="64">
        <f t="shared" ref="B60:B62" si="6">+DATE(YEAR(B59),MONTH(B59)+1,1)</f>
        <v>42887</v>
      </c>
      <c r="C60" s="64" t="s">
        <v>50</v>
      </c>
      <c r="D60" s="64" t="s">
        <v>13</v>
      </c>
      <c r="E60" s="131">
        <v>220</v>
      </c>
      <c r="F60" s="132">
        <v>5560.1</v>
      </c>
      <c r="G60" s="132">
        <v>5510.44</v>
      </c>
      <c r="H60" s="133">
        <v>-8.9309999999999997E-3</v>
      </c>
      <c r="J60" s="64">
        <f t="shared" ref="J60:J90" si="7">+DATE(YEAR(J59),MONTH(J59)+1,1)</f>
        <v>42887</v>
      </c>
      <c r="K60" s="130" t="s">
        <v>50</v>
      </c>
      <c r="L60" s="64" t="s">
        <v>49</v>
      </c>
      <c r="M60" s="81">
        <v>220</v>
      </c>
      <c r="N60" s="132">
        <v>5619.99</v>
      </c>
      <c r="O60" s="132">
        <v>5571.45</v>
      </c>
      <c r="P60" s="134">
        <v>-8.6370000000000006E-3</v>
      </c>
      <c r="Q60" s="65" t="s">
        <v>48</v>
      </c>
      <c r="R60" s="81">
        <v>220</v>
      </c>
      <c r="S60" s="135">
        <v>5365.73</v>
      </c>
      <c r="T60" s="132">
        <v>5319.25</v>
      </c>
      <c r="U60" s="133">
        <v>-8.6619999999999996E-3</v>
      </c>
    </row>
    <row r="61" spans="2:21" x14ac:dyDescent="0.2">
      <c r="B61" s="56">
        <f t="shared" si="4"/>
        <v>42917</v>
      </c>
      <c r="C61" s="56" t="s">
        <v>54</v>
      </c>
      <c r="D61" s="56" t="s">
        <v>13</v>
      </c>
      <c r="E61" s="71">
        <v>220</v>
      </c>
      <c r="F61" s="61">
        <v>5510.44</v>
      </c>
      <c r="G61" s="61">
        <v>5594.06</v>
      </c>
      <c r="H61" s="87">
        <v>1.5174999999999999E-2</v>
      </c>
      <c r="J61" s="56">
        <f t="shared" si="5"/>
        <v>42917</v>
      </c>
      <c r="K61" s="47" t="s">
        <v>50</v>
      </c>
      <c r="L61" s="56" t="s">
        <v>49</v>
      </c>
      <c r="M61" s="76">
        <v>220</v>
      </c>
      <c r="N61" s="61">
        <v>5619.99</v>
      </c>
      <c r="O61" s="61">
        <v>5655.4</v>
      </c>
      <c r="P61" s="63">
        <v>6.3010000000000002E-3</v>
      </c>
      <c r="Q61" s="50" t="s">
        <v>48</v>
      </c>
      <c r="R61" s="76">
        <v>220</v>
      </c>
      <c r="S61" s="62">
        <v>5365.73</v>
      </c>
      <c r="T61" s="61">
        <v>5399.26</v>
      </c>
      <c r="U61" s="87">
        <v>6.2490000000000002E-3</v>
      </c>
    </row>
    <row r="62" spans="2:21" x14ac:dyDescent="0.2">
      <c r="B62" s="38">
        <f t="shared" si="6"/>
        <v>42948</v>
      </c>
      <c r="C62" s="38" t="s">
        <v>54</v>
      </c>
      <c r="D62" s="38" t="s">
        <v>13</v>
      </c>
      <c r="E62" s="72">
        <v>220</v>
      </c>
      <c r="F62" s="35">
        <v>5510.44</v>
      </c>
      <c r="G62" s="35">
        <v>5542.54</v>
      </c>
      <c r="H62" s="84">
        <v>5.8250000000000003E-3</v>
      </c>
      <c r="J62" s="38">
        <f t="shared" si="7"/>
        <v>42948</v>
      </c>
      <c r="K62" s="34" t="s">
        <v>50</v>
      </c>
      <c r="L62" s="38" t="s">
        <v>49</v>
      </c>
      <c r="M62" s="77">
        <v>220</v>
      </c>
      <c r="N62" s="35">
        <v>5619.99</v>
      </c>
      <c r="O62" s="35">
        <v>5604.58</v>
      </c>
      <c r="P62" s="42">
        <v>-2.7420000000000001E-3</v>
      </c>
      <c r="Q62" s="37" t="s">
        <v>48</v>
      </c>
      <c r="R62" s="77">
        <v>220</v>
      </c>
      <c r="S62" s="36">
        <v>5365.73</v>
      </c>
      <c r="T62" s="35">
        <v>5350.34</v>
      </c>
      <c r="U62" s="84">
        <v>-2.8679999999999999E-3</v>
      </c>
    </row>
    <row r="63" spans="2:21" ht="13.5" thickBot="1" x14ac:dyDescent="0.25">
      <c r="B63" s="91">
        <f t="shared" si="4"/>
        <v>42979</v>
      </c>
      <c r="C63" s="91" t="s">
        <v>54</v>
      </c>
      <c r="D63" s="91" t="s">
        <v>13</v>
      </c>
      <c r="E63" s="138">
        <v>220</v>
      </c>
      <c r="F63" s="94">
        <v>5510.44</v>
      </c>
      <c r="G63" s="94">
        <v>5449.66</v>
      </c>
      <c r="H63" s="98">
        <v>-1.103E-2</v>
      </c>
      <c r="J63" s="91">
        <f t="shared" si="7"/>
        <v>42979</v>
      </c>
      <c r="K63" s="92" t="s">
        <v>50</v>
      </c>
      <c r="L63" s="91" t="s">
        <v>49</v>
      </c>
      <c r="M63" s="93">
        <v>220</v>
      </c>
      <c r="N63" s="94">
        <v>5619.99</v>
      </c>
      <c r="O63" s="94">
        <v>5513.4</v>
      </c>
      <c r="P63" s="95">
        <v>-1.8966E-2</v>
      </c>
      <c r="Q63" s="96" t="s">
        <v>48</v>
      </c>
      <c r="R63" s="93">
        <v>220</v>
      </c>
      <c r="S63" s="97">
        <v>5365.73</v>
      </c>
      <c r="T63" s="94">
        <v>5262.63</v>
      </c>
      <c r="U63" s="98">
        <v>-1.9214999999999999E-2</v>
      </c>
    </row>
    <row r="64" spans="2:21" x14ac:dyDescent="0.2">
      <c r="B64" s="116">
        <f t="shared" si="4"/>
        <v>43009</v>
      </c>
      <c r="C64" s="64" t="s">
        <v>55</v>
      </c>
      <c r="D64" s="116" t="s">
        <v>13</v>
      </c>
      <c r="E64" s="136">
        <v>220</v>
      </c>
      <c r="F64" s="113">
        <v>5507.1</v>
      </c>
      <c r="G64" s="113">
        <v>5294.37</v>
      </c>
      <c r="H64" s="137">
        <v>-3.8628000000000003E-2</v>
      </c>
      <c r="J64" s="116">
        <f t="shared" si="7"/>
        <v>43009</v>
      </c>
      <c r="K64" s="112" t="s">
        <v>55</v>
      </c>
      <c r="L64" s="115" t="s">
        <v>48</v>
      </c>
      <c r="M64" s="139">
        <v>220</v>
      </c>
      <c r="N64" s="113">
        <v>5400.39</v>
      </c>
      <c r="O64" s="113">
        <v>5194.99</v>
      </c>
      <c r="P64" s="140">
        <v>-3.8033999999999998E-2</v>
      </c>
      <c r="Q64" s="115" t="s">
        <v>56</v>
      </c>
      <c r="R64" s="139">
        <v>220</v>
      </c>
      <c r="S64" s="114">
        <v>4974.16</v>
      </c>
      <c r="T64" s="113">
        <v>4776.95</v>
      </c>
      <c r="U64" s="137">
        <v>-3.9647000000000002E-2</v>
      </c>
    </row>
    <row r="65" spans="2:21" x14ac:dyDescent="0.2">
      <c r="B65" s="2">
        <f t="shared" si="4"/>
        <v>43040</v>
      </c>
      <c r="C65" s="2" t="s">
        <v>55</v>
      </c>
      <c r="D65" s="2" t="s">
        <v>13</v>
      </c>
      <c r="E65" s="73">
        <v>220</v>
      </c>
      <c r="F65" s="107">
        <v>5507.1</v>
      </c>
      <c r="G65" s="107">
        <v>5194.5200000000004</v>
      </c>
      <c r="H65" s="108">
        <v>-5.6758999999999997E-2</v>
      </c>
      <c r="J65" s="2">
        <f t="shared" si="7"/>
        <v>43040</v>
      </c>
      <c r="K65" s="33" t="s">
        <v>55</v>
      </c>
      <c r="L65" s="31" t="s">
        <v>48</v>
      </c>
      <c r="M65" s="78">
        <v>220</v>
      </c>
      <c r="N65" s="107">
        <v>5400.39</v>
      </c>
      <c r="O65" s="107">
        <v>5098.1899999999996</v>
      </c>
      <c r="P65" s="109">
        <v>-5.5959000000000002E-2</v>
      </c>
      <c r="Q65" s="31" t="s">
        <v>56</v>
      </c>
      <c r="R65" s="78">
        <v>220</v>
      </c>
      <c r="S65" s="110">
        <v>4974.16</v>
      </c>
      <c r="T65" s="107">
        <v>4684.18</v>
      </c>
      <c r="U65" s="108">
        <v>-5.8297000000000002E-2</v>
      </c>
    </row>
    <row r="66" spans="2:21" x14ac:dyDescent="0.2">
      <c r="B66" s="38">
        <f t="shared" si="4"/>
        <v>43070</v>
      </c>
      <c r="C66" s="38" t="s">
        <v>55</v>
      </c>
      <c r="D66" s="38" t="s">
        <v>13</v>
      </c>
      <c r="E66" s="72">
        <v>220</v>
      </c>
      <c r="F66" s="35">
        <v>5507.1</v>
      </c>
      <c r="G66" s="35">
        <v>5230.0600000000004</v>
      </c>
      <c r="H66" s="84">
        <v>-5.0305999999999997E-2</v>
      </c>
      <c r="J66" s="38">
        <f t="shared" si="7"/>
        <v>43070</v>
      </c>
      <c r="K66" s="34" t="s">
        <v>55</v>
      </c>
      <c r="L66" s="37" t="s">
        <v>48</v>
      </c>
      <c r="M66" s="77">
        <v>220</v>
      </c>
      <c r="N66" s="35">
        <v>5400.39</v>
      </c>
      <c r="O66" s="35">
        <v>5132.97</v>
      </c>
      <c r="P66" s="42">
        <v>-4.9519000000000001E-2</v>
      </c>
      <c r="Q66" s="37" t="s">
        <v>56</v>
      </c>
      <c r="R66" s="77">
        <v>220</v>
      </c>
      <c r="S66" s="36">
        <v>4974.16</v>
      </c>
      <c r="T66" s="35">
        <v>4716.3</v>
      </c>
      <c r="U66" s="84">
        <v>-5.1839999999999997E-2</v>
      </c>
    </row>
    <row r="67" spans="2:21" ht="13.5" thickBot="1" x14ac:dyDescent="0.25">
      <c r="B67" s="91">
        <f t="shared" si="4"/>
        <v>43101</v>
      </c>
      <c r="C67" s="91" t="s">
        <v>55</v>
      </c>
      <c r="D67" s="91" t="s">
        <v>13</v>
      </c>
      <c r="E67" s="138">
        <v>220</v>
      </c>
      <c r="F67" s="94">
        <v>5507.1</v>
      </c>
      <c r="G67" s="94">
        <v>5297.03</v>
      </c>
      <c r="H67" s="98">
        <v>-3.8144999999999998E-2</v>
      </c>
      <c r="J67" s="91">
        <f t="shared" si="7"/>
        <v>43101</v>
      </c>
      <c r="K67" s="92" t="s">
        <v>55</v>
      </c>
      <c r="L67" s="91" t="s">
        <v>48</v>
      </c>
      <c r="M67" s="93">
        <v>220</v>
      </c>
      <c r="N67" s="94">
        <v>5400.39</v>
      </c>
      <c r="O67" s="94">
        <v>5197.78</v>
      </c>
      <c r="P67" s="95">
        <v>-3.7518000000000003E-2</v>
      </c>
      <c r="Q67" s="96" t="s">
        <v>56</v>
      </c>
      <c r="R67" s="93">
        <v>220</v>
      </c>
      <c r="S67" s="97">
        <v>4974.16</v>
      </c>
      <c r="T67" s="94">
        <v>4778.37</v>
      </c>
      <c r="U67" s="98">
        <v>-3.9361E-2</v>
      </c>
    </row>
    <row r="68" spans="2:21" x14ac:dyDescent="0.2">
      <c r="B68" s="38">
        <f t="shared" si="4"/>
        <v>43132</v>
      </c>
      <c r="C68" s="64" t="s">
        <v>57</v>
      </c>
      <c r="D68" s="38" t="s">
        <v>13</v>
      </c>
      <c r="E68" s="72">
        <v>220</v>
      </c>
      <c r="F68" s="35">
        <v>5297.03</v>
      </c>
      <c r="G68" s="35">
        <v>5294.08</v>
      </c>
      <c r="H68" s="84">
        <v>-5.5699999999999999E-4</v>
      </c>
      <c r="J68" s="38">
        <f t="shared" si="7"/>
        <v>43132</v>
      </c>
      <c r="K68" s="34" t="s">
        <v>55</v>
      </c>
      <c r="L68" s="37" t="s">
        <v>48</v>
      </c>
      <c r="M68" s="77">
        <v>220</v>
      </c>
      <c r="N68" s="35">
        <v>5400.39</v>
      </c>
      <c r="O68" s="35">
        <v>5195.16</v>
      </c>
      <c r="P68" s="42">
        <v>-3.8003000000000002E-2</v>
      </c>
      <c r="Q68" s="37" t="s">
        <v>56</v>
      </c>
      <c r="R68" s="77">
        <v>220</v>
      </c>
      <c r="S68" s="36">
        <v>4974.16</v>
      </c>
      <c r="T68" s="35">
        <v>4775.6400000000003</v>
      </c>
      <c r="U68" s="84">
        <v>-3.9910000000000001E-2</v>
      </c>
    </row>
    <row r="69" spans="2:21" ht="13.5" thickBot="1" x14ac:dyDescent="0.25">
      <c r="B69" s="117">
        <f t="shared" si="4"/>
        <v>43160</v>
      </c>
      <c r="C69" s="117" t="s">
        <v>57</v>
      </c>
      <c r="D69" s="117" t="s">
        <v>13</v>
      </c>
      <c r="E69" s="127">
        <v>220</v>
      </c>
      <c r="F69" s="118">
        <v>5297.03</v>
      </c>
      <c r="G69" s="118">
        <v>5146.83</v>
      </c>
      <c r="H69" s="119">
        <v>-2.8355999999999999E-2</v>
      </c>
      <c r="J69" s="117">
        <f t="shared" si="7"/>
        <v>43160</v>
      </c>
      <c r="K69" s="130" t="s">
        <v>55</v>
      </c>
      <c r="L69" s="117" t="s">
        <v>48</v>
      </c>
      <c r="M69" s="146">
        <v>220</v>
      </c>
      <c r="N69" s="118">
        <v>5400.39</v>
      </c>
      <c r="O69" s="118">
        <v>5052.49</v>
      </c>
      <c r="P69" s="147">
        <v>-6.4421000000000006E-2</v>
      </c>
      <c r="Q69" s="148" t="s">
        <v>56</v>
      </c>
      <c r="R69" s="146">
        <v>220</v>
      </c>
      <c r="S69" s="149">
        <v>4974.16</v>
      </c>
      <c r="T69" s="118">
        <v>4637.05</v>
      </c>
      <c r="U69" s="119">
        <v>-6.7771999999999999E-2</v>
      </c>
    </row>
    <row r="70" spans="2:21" x14ac:dyDescent="0.2">
      <c r="B70" s="120">
        <f t="shared" si="4"/>
        <v>43191</v>
      </c>
      <c r="C70" s="144" t="s">
        <v>58</v>
      </c>
      <c r="D70" s="120" t="s">
        <v>13</v>
      </c>
      <c r="E70" s="128">
        <v>220</v>
      </c>
      <c r="F70" s="142">
        <v>5302.82</v>
      </c>
      <c r="G70" s="142">
        <v>5108.0200000000004</v>
      </c>
      <c r="H70" s="145">
        <v>-3.6734999999999997E-2</v>
      </c>
      <c r="J70" s="120">
        <f t="shared" si="7"/>
        <v>43191</v>
      </c>
      <c r="K70" s="141" t="s">
        <v>58</v>
      </c>
      <c r="L70" s="124" t="s">
        <v>48</v>
      </c>
      <c r="M70" s="121">
        <v>220</v>
      </c>
      <c r="N70" s="142">
        <v>5122.32</v>
      </c>
      <c r="O70" s="142">
        <v>4937.3900000000003</v>
      </c>
      <c r="P70" s="150">
        <v>-3.6103000000000003E-2</v>
      </c>
      <c r="Q70" s="124" t="s">
        <v>56</v>
      </c>
      <c r="R70" s="121">
        <v>220</v>
      </c>
      <c r="S70" s="143">
        <v>4708.53</v>
      </c>
      <c r="T70" s="142">
        <v>4529.22</v>
      </c>
      <c r="U70" s="145">
        <v>-3.8081999999999998E-2</v>
      </c>
    </row>
    <row r="71" spans="2:21" x14ac:dyDescent="0.2">
      <c r="B71" s="2">
        <f t="shared" si="4"/>
        <v>43221</v>
      </c>
      <c r="C71" s="2" t="s">
        <v>58</v>
      </c>
      <c r="D71" s="2" t="s">
        <v>13</v>
      </c>
      <c r="E71" s="73">
        <v>220</v>
      </c>
      <c r="F71" s="107">
        <v>5302.82</v>
      </c>
      <c r="G71" s="107">
        <v>5136.59</v>
      </c>
      <c r="H71" s="108">
        <v>-3.1347E-2</v>
      </c>
      <c r="J71" s="2">
        <f t="shared" si="7"/>
        <v>43221</v>
      </c>
      <c r="K71" s="33" t="s">
        <v>58</v>
      </c>
      <c r="L71" s="31" t="s">
        <v>48</v>
      </c>
      <c r="M71" s="78">
        <v>220</v>
      </c>
      <c r="N71" s="107">
        <v>5122.32</v>
      </c>
      <c r="O71" s="107">
        <v>4964.8599999999997</v>
      </c>
      <c r="P71" s="109">
        <v>-3.074E-2</v>
      </c>
      <c r="Q71" s="31" t="s">
        <v>56</v>
      </c>
      <c r="R71" s="78">
        <v>220</v>
      </c>
      <c r="S71" s="110">
        <v>4708.53</v>
      </c>
      <c r="T71" s="107">
        <v>4555.29</v>
      </c>
      <c r="U71" s="108">
        <v>-3.2544999999999998E-2</v>
      </c>
    </row>
    <row r="72" spans="2:21" x14ac:dyDescent="0.2">
      <c r="B72" s="38">
        <f t="shared" si="4"/>
        <v>43252</v>
      </c>
      <c r="C72" s="38" t="s">
        <v>58</v>
      </c>
      <c r="D72" s="38" t="s">
        <v>13</v>
      </c>
      <c r="E72" s="72">
        <v>220</v>
      </c>
      <c r="F72" s="35">
        <v>5302.82</v>
      </c>
      <c r="G72" s="35">
        <v>5066.58</v>
      </c>
      <c r="H72" s="84">
        <v>-4.4549999999999999E-2</v>
      </c>
      <c r="J72" s="38">
        <f t="shared" si="7"/>
        <v>43252</v>
      </c>
      <c r="K72" s="34" t="s">
        <v>58</v>
      </c>
      <c r="L72" s="38" t="s">
        <v>48</v>
      </c>
      <c r="M72" s="77">
        <v>220</v>
      </c>
      <c r="N72" s="35">
        <v>5122.32</v>
      </c>
      <c r="O72" s="35">
        <v>4898.95</v>
      </c>
      <c r="P72" s="42">
        <v>-4.3607E-2</v>
      </c>
      <c r="Q72" s="37" t="s">
        <v>56</v>
      </c>
      <c r="R72" s="77">
        <v>220</v>
      </c>
      <c r="S72" s="36">
        <v>4708.53</v>
      </c>
      <c r="T72" s="35">
        <v>4491.62</v>
      </c>
      <c r="U72" s="84">
        <v>-4.6066999999999997E-2</v>
      </c>
    </row>
    <row r="73" spans="2:21" x14ac:dyDescent="0.2">
      <c r="B73" s="2">
        <f t="shared" si="4"/>
        <v>43282</v>
      </c>
      <c r="C73" s="2" t="s">
        <v>58</v>
      </c>
      <c r="D73" s="2" t="s">
        <v>13</v>
      </c>
      <c r="E73" s="73">
        <v>220</v>
      </c>
      <c r="F73" s="23">
        <v>5302.82</v>
      </c>
      <c r="G73" s="23">
        <v>5143.03</v>
      </c>
      <c r="H73" s="85">
        <v>-3.0133E-2</v>
      </c>
      <c r="J73" s="2">
        <f t="shared" si="7"/>
        <v>43282</v>
      </c>
      <c r="K73" s="33" t="s">
        <v>58</v>
      </c>
      <c r="L73" s="2" t="s">
        <v>48</v>
      </c>
      <c r="M73" s="78">
        <v>220</v>
      </c>
      <c r="N73" s="23">
        <v>5122.32</v>
      </c>
      <c r="O73" s="23">
        <v>4972.57</v>
      </c>
      <c r="P73" s="27">
        <v>-2.9235000000000001E-2</v>
      </c>
      <c r="Q73" s="31" t="s">
        <v>56</v>
      </c>
      <c r="R73" s="78">
        <v>220</v>
      </c>
      <c r="S73" s="24">
        <v>4708.53</v>
      </c>
      <c r="T73" s="23">
        <v>4562.33</v>
      </c>
      <c r="U73" s="85">
        <v>-3.1050000000000001E-2</v>
      </c>
    </row>
    <row r="74" spans="2:21" x14ac:dyDescent="0.2">
      <c r="B74" s="38">
        <f t="shared" si="4"/>
        <v>43313</v>
      </c>
      <c r="C74" s="38" t="s">
        <v>58</v>
      </c>
      <c r="D74" s="38" t="s">
        <v>13</v>
      </c>
      <c r="E74" s="72">
        <v>220</v>
      </c>
      <c r="F74" s="35">
        <v>5302.82</v>
      </c>
      <c r="G74" s="35">
        <v>5177.76</v>
      </c>
      <c r="H74" s="84">
        <v>-2.3584000000000001E-2</v>
      </c>
      <c r="J74" s="38">
        <f t="shared" si="7"/>
        <v>43313</v>
      </c>
      <c r="K74" s="34" t="s">
        <v>58</v>
      </c>
      <c r="L74" s="38" t="s">
        <v>48</v>
      </c>
      <c r="M74" s="77">
        <v>220</v>
      </c>
      <c r="N74" s="35">
        <v>5122.32</v>
      </c>
      <c r="O74" s="35">
        <v>5006.1099999999997</v>
      </c>
      <c r="P74" s="42">
        <v>-2.2686999999999999E-2</v>
      </c>
      <c r="Q74" s="37" t="s">
        <v>56</v>
      </c>
      <c r="R74" s="77">
        <v>220</v>
      </c>
      <c r="S74" s="36">
        <v>4708.53</v>
      </c>
      <c r="T74" s="35">
        <v>4594.71</v>
      </c>
      <c r="U74" s="84">
        <v>-2.4173E-2</v>
      </c>
    </row>
    <row r="75" spans="2:21" ht="13.5" thickBot="1" x14ac:dyDescent="0.25">
      <c r="B75" s="117">
        <f t="shared" si="4"/>
        <v>43344</v>
      </c>
      <c r="C75" s="117" t="s">
        <v>58</v>
      </c>
      <c r="D75" s="117" t="s">
        <v>13</v>
      </c>
      <c r="E75" s="127">
        <v>220</v>
      </c>
      <c r="F75" s="118">
        <v>5302.82</v>
      </c>
      <c r="G75" s="118">
        <v>5319.17</v>
      </c>
      <c r="H75" s="119">
        <v>3.0829999999999998E-3</v>
      </c>
      <c r="J75" s="117">
        <f t="shared" si="7"/>
        <v>43344</v>
      </c>
      <c r="K75" s="130" t="s">
        <v>58</v>
      </c>
      <c r="L75" s="117" t="s">
        <v>48</v>
      </c>
      <c r="M75" s="146">
        <v>220</v>
      </c>
      <c r="N75" s="118">
        <v>5122.32</v>
      </c>
      <c r="O75" s="118">
        <v>5140.9399999999996</v>
      </c>
      <c r="P75" s="147">
        <v>3.6350000000000002E-3</v>
      </c>
      <c r="Q75" s="148" t="s">
        <v>56</v>
      </c>
      <c r="R75" s="146">
        <v>220</v>
      </c>
      <c r="S75" s="149">
        <v>4708.53</v>
      </c>
      <c r="T75" s="118">
        <v>4723.58</v>
      </c>
      <c r="U75" s="119">
        <v>3.1960000000000001E-3</v>
      </c>
    </row>
    <row r="76" spans="2:21" x14ac:dyDescent="0.2">
      <c r="B76" s="120">
        <f t="shared" si="4"/>
        <v>43374</v>
      </c>
      <c r="C76" s="144" t="s">
        <v>60</v>
      </c>
      <c r="D76" s="120" t="s">
        <v>13</v>
      </c>
      <c r="E76" s="128">
        <v>220</v>
      </c>
      <c r="F76" s="142">
        <v>5152.34</v>
      </c>
      <c r="G76" s="142">
        <v>5412.85</v>
      </c>
      <c r="H76" s="145">
        <v>5.0561000000000002E-2</v>
      </c>
      <c r="J76" s="120">
        <f t="shared" si="7"/>
        <v>43374</v>
      </c>
      <c r="K76" s="141" t="s">
        <v>60</v>
      </c>
      <c r="L76" s="124" t="s">
        <v>48</v>
      </c>
      <c r="M76" s="121">
        <v>220</v>
      </c>
      <c r="N76" s="142">
        <v>4981.72</v>
      </c>
      <c r="O76" s="142">
        <v>5230.1899999999996</v>
      </c>
      <c r="P76" s="150">
        <v>4.9875999999999997E-2</v>
      </c>
      <c r="Q76" s="124" t="s">
        <v>56</v>
      </c>
      <c r="R76" s="121">
        <v>220</v>
      </c>
      <c r="S76" s="143">
        <v>4570.24</v>
      </c>
      <c r="T76" s="142">
        <v>4807.75</v>
      </c>
      <c r="U76" s="145">
        <v>5.1969000000000001E-2</v>
      </c>
    </row>
    <row r="77" spans="2:21" x14ac:dyDescent="0.2">
      <c r="B77" s="2">
        <f t="shared" si="4"/>
        <v>43405</v>
      </c>
      <c r="C77" s="2" t="s">
        <v>60</v>
      </c>
      <c r="D77" s="2" t="s">
        <v>13</v>
      </c>
      <c r="E77" s="73">
        <v>220</v>
      </c>
      <c r="F77" s="35">
        <v>5152.34</v>
      </c>
      <c r="G77" s="107">
        <v>5547.35</v>
      </c>
      <c r="H77" s="108">
        <v>7.6665999999999998E-2</v>
      </c>
      <c r="J77" s="2">
        <f t="shared" si="7"/>
        <v>43405</v>
      </c>
      <c r="K77" s="33" t="s">
        <v>60</v>
      </c>
      <c r="L77" s="31" t="s">
        <v>48</v>
      </c>
      <c r="M77" s="78">
        <v>220</v>
      </c>
      <c r="N77" s="35">
        <v>4981.72</v>
      </c>
      <c r="O77" s="107">
        <v>5358.82</v>
      </c>
      <c r="P77" s="109">
        <v>7.5697E-2</v>
      </c>
      <c r="Q77" s="31" t="s">
        <v>56</v>
      </c>
      <c r="R77" s="78">
        <v>220</v>
      </c>
      <c r="S77" s="114">
        <v>4570.24</v>
      </c>
      <c r="T77" s="107">
        <v>4930.92</v>
      </c>
      <c r="U77" s="108">
        <v>7.8919000000000003E-2</v>
      </c>
    </row>
    <row r="78" spans="2:21" x14ac:dyDescent="0.2">
      <c r="B78" s="38">
        <f t="shared" si="4"/>
        <v>43435</v>
      </c>
      <c r="C78" s="38" t="s">
        <v>60</v>
      </c>
      <c r="D78" s="38" t="s">
        <v>13</v>
      </c>
      <c r="E78" s="72">
        <v>220</v>
      </c>
      <c r="F78" s="35">
        <v>5152.34</v>
      </c>
      <c r="G78" s="35">
        <v>5531.83</v>
      </c>
      <c r="H78" s="84">
        <v>7.3653999999999997E-2</v>
      </c>
      <c r="J78" s="38">
        <f t="shared" si="7"/>
        <v>43435</v>
      </c>
      <c r="K78" s="34" t="s">
        <v>60</v>
      </c>
      <c r="L78" s="38" t="s">
        <v>48</v>
      </c>
      <c r="M78" s="77">
        <v>220</v>
      </c>
      <c r="N78" s="35">
        <v>4981.72</v>
      </c>
      <c r="O78" s="35">
        <v>5344.7</v>
      </c>
      <c r="P78" s="42">
        <v>7.2861999999999996E-2</v>
      </c>
      <c r="Q78" s="37" t="s">
        <v>56</v>
      </c>
      <c r="R78" s="77">
        <v>220</v>
      </c>
      <c r="S78" s="114">
        <v>4570.24</v>
      </c>
      <c r="T78" s="35">
        <v>4916.8599999999997</v>
      </c>
      <c r="U78" s="84">
        <v>7.5842999999999994E-2</v>
      </c>
    </row>
    <row r="79" spans="2:21" ht="13.5" thickBot="1" x14ac:dyDescent="0.25">
      <c r="B79" s="117">
        <f t="shared" si="4"/>
        <v>43466</v>
      </c>
      <c r="C79" s="117" t="s">
        <v>60</v>
      </c>
      <c r="D79" s="117" t="s">
        <v>13</v>
      </c>
      <c r="E79" s="127">
        <v>220</v>
      </c>
      <c r="F79" s="66">
        <v>5152.34</v>
      </c>
      <c r="G79" s="118">
        <v>5538.39</v>
      </c>
      <c r="H79" s="119">
        <v>7.4926999999999994E-2</v>
      </c>
      <c r="J79" s="117">
        <f t="shared" si="7"/>
        <v>43466</v>
      </c>
      <c r="K79" s="130" t="s">
        <v>60</v>
      </c>
      <c r="L79" s="117" t="s">
        <v>48</v>
      </c>
      <c r="M79" s="146">
        <v>220</v>
      </c>
      <c r="N79" s="66">
        <v>4981.72</v>
      </c>
      <c r="O79" s="118">
        <v>5351.08</v>
      </c>
      <c r="P79" s="147">
        <v>7.4143000000000001E-2</v>
      </c>
      <c r="Q79" s="148" t="s">
        <v>56</v>
      </c>
      <c r="R79" s="146">
        <v>220</v>
      </c>
      <c r="S79" s="151">
        <v>4570.24</v>
      </c>
      <c r="T79" s="118">
        <v>4923.1000000000004</v>
      </c>
      <c r="U79" s="119">
        <v>7.7207999999999999E-2</v>
      </c>
    </row>
    <row r="80" spans="2:21" x14ac:dyDescent="0.2">
      <c r="B80" s="144">
        <f t="shared" si="4"/>
        <v>43497</v>
      </c>
      <c r="C80" s="144" t="s">
        <v>61</v>
      </c>
      <c r="D80" s="144" t="s">
        <v>13</v>
      </c>
      <c r="E80" s="152">
        <v>220</v>
      </c>
      <c r="F80" s="153">
        <v>5538.39</v>
      </c>
      <c r="G80" s="153">
        <v>5559.4</v>
      </c>
      <c r="H80" s="154">
        <v>3.7940000000000001E-3</v>
      </c>
      <c r="I80" s="163"/>
      <c r="J80" s="144">
        <f t="shared" si="7"/>
        <v>43497</v>
      </c>
      <c r="K80" s="144" t="s">
        <v>61</v>
      </c>
      <c r="L80" s="144" t="s">
        <v>48</v>
      </c>
      <c r="M80" s="155">
        <v>220</v>
      </c>
      <c r="N80" s="153">
        <v>5351.08</v>
      </c>
      <c r="O80" s="153">
        <v>5371.03</v>
      </c>
      <c r="P80" s="156">
        <v>3.728E-3</v>
      </c>
      <c r="Q80" s="157" t="s">
        <v>56</v>
      </c>
      <c r="R80" s="155">
        <v>220</v>
      </c>
      <c r="S80" s="158">
        <v>4923.1000000000004</v>
      </c>
      <c r="T80" s="153">
        <v>4942.6099999999997</v>
      </c>
      <c r="U80" s="154">
        <v>3.9630000000000004E-3</v>
      </c>
    </row>
    <row r="81" spans="2:21" ht="13.5" thickBot="1" x14ac:dyDescent="0.25">
      <c r="B81" s="117">
        <f t="shared" si="4"/>
        <v>43525</v>
      </c>
      <c r="C81" s="117" t="s">
        <v>61</v>
      </c>
      <c r="D81" s="117" t="s">
        <v>13</v>
      </c>
      <c r="E81" s="127">
        <v>220</v>
      </c>
      <c r="F81" s="159">
        <v>5538.39</v>
      </c>
      <c r="G81" s="159">
        <v>5551.33</v>
      </c>
      <c r="H81" s="162">
        <v>2.336E-3</v>
      </c>
      <c r="I81" s="163"/>
      <c r="J81" s="117">
        <f t="shared" si="7"/>
        <v>43525</v>
      </c>
      <c r="K81" s="117" t="s">
        <v>61</v>
      </c>
      <c r="L81" s="117" t="s">
        <v>48</v>
      </c>
      <c r="M81" s="146">
        <v>220</v>
      </c>
      <c r="N81" s="159">
        <v>5351.08</v>
      </c>
      <c r="O81" s="159">
        <v>5363.18</v>
      </c>
      <c r="P81" s="161">
        <v>2.261E-3</v>
      </c>
      <c r="Q81" s="148" t="s">
        <v>56</v>
      </c>
      <c r="R81" s="146">
        <v>220</v>
      </c>
      <c r="S81" s="160">
        <v>4923.1000000000004</v>
      </c>
      <c r="T81" s="159">
        <v>4934.57</v>
      </c>
      <c r="U81" s="162">
        <v>2.33E-3</v>
      </c>
    </row>
    <row r="82" spans="2:21" x14ac:dyDescent="0.2">
      <c r="B82" s="120">
        <f t="shared" si="4"/>
        <v>43556</v>
      </c>
      <c r="C82" s="120" t="s">
        <v>63</v>
      </c>
      <c r="D82" s="120" t="s">
        <v>13</v>
      </c>
      <c r="E82" s="128">
        <v>220</v>
      </c>
      <c r="F82" s="142">
        <v>5523.4</v>
      </c>
      <c r="G82" s="142">
        <v>5434.94</v>
      </c>
      <c r="H82" s="145">
        <v>-1.6015000000000001E-2</v>
      </c>
      <c r="I82" s="163"/>
      <c r="J82" s="120">
        <f t="shared" si="7"/>
        <v>43556</v>
      </c>
      <c r="K82" s="120" t="s">
        <v>63</v>
      </c>
      <c r="L82" s="120" t="s">
        <v>48</v>
      </c>
      <c r="M82" s="121">
        <v>220</v>
      </c>
      <c r="N82" s="142">
        <v>5336.31</v>
      </c>
      <c r="O82" s="142">
        <v>5251.8</v>
      </c>
      <c r="P82" s="150">
        <v>-1.5837E-2</v>
      </c>
      <c r="Q82" s="124" t="s">
        <v>56</v>
      </c>
      <c r="R82" s="121">
        <v>220</v>
      </c>
      <c r="S82" s="143">
        <v>4910.03</v>
      </c>
      <c r="T82" s="142">
        <v>4828.1899999999996</v>
      </c>
      <c r="U82" s="145">
        <v>-1.6667999999999999E-2</v>
      </c>
    </row>
    <row r="83" spans="2:21" x14ac:dyDescent="0.2">
      <c r="B83" s="2">
        <f t="shared" si="4"/>
        <v>43586</v>
      </c>
      <c r="C83" s="2" t="s">
        <v>63</v>
      </c>
      <c r="D83" s="2" t="s">
        <v>13</v>
      </c>
      <c r="E83" s="73">
        <v>220</v>
      </c>
      <c r="F83" s="107">
        <v>5523.4</v>
      </c>
      <c r="G83" s="107">
        <v>5543.69</v>
      </c>
      <c r="H83" s="108">
        <v>3.673E-3</v>
      </c>
      <c r="I83" s="163"/>
      <c r="J83" s="2">
        <f t="shared" si="7"/>
        <v>43586</v>
      </c>
      <c r="K83" s="2" t="s">
        <v>63</v>
      </c>
      <c r="L83" s="2" t="s">
        <v>48</v>
      </c>
      <c r="M83" s="78">
        <v>220</v>
      </c>
      <c r="N83" s="107">
        <v>5336.31</v>
      </c>
      <c r="O83" s="107">
        <v>5355.59</v>
      </c>
      <c r="P83" s="109">
        <v>3.6129999999999999E-3</v>
      </c>
      <c r="Q83" s="31" t="s">
        <v>56</v>
      </c>
      <c r="R83" s="78">
        <v>220</v>
      </c>
      <c r="S83" s="110">
        <v>4910.03</v>
      </c>
      <c r="T83" s="107">
        <v>4927.01</v>
      </c>
      <c r="U83" s="108">
        <v>3.4580000000000001E-3</v>
      </c>
    </row>
    <row r="84" spans="2:21" x14ac:dyDescent="0.2">
      <c r="B84" s="38">
        <f t="shared" ref="B84:B87" si="8">+DATE(YEAR(B83),MONTH(B83)+1,1)</f>
        <v>43617</v>
      </c>
      <c r="C84" s="38" t="s">
        <v>63</v>
      </c>
      <c r="D84" s="38" t="s">
        <v>13</v>
      </c>
      <c r="E84" s="72">
        <v>220</v>
      </c>
      <c r="F84" s="35">
        <v>5523.4</v>
      </c>
      <c r="G84" s="35">
        <v>5559.6</v>
      </c>
      <c r="H84" s="84">
        <v>6.5539999999999999E-3</v>
      </c>
      <c r="I84" s="163"/>
      <c r="J84" s="38">
        <f t="shared" si="7"/>
        <v>43617</v>
      </c>
      <c r="K84" s="38" t="s">
        <v>63</v>
      </c>
      <c r="L84" s="38" t="s">
        <v>48</v>
      </c>
      <c r="M84" s="77">
        <v>220</v>
      </c>
      <c r="N84" s="35">
        <v>5336.31</v>
      </c>
      <c r="O84" s="35">
        <v>5370.53</v>
      </c>
      <c r="P84" s="42">
        <v>6.4130000000000003E-3</v>
      </c>
      <c r="Q84" s="37" t="s">
        <v>56</v>
      </c>
      <c r="R84" s="77">
        <v>220</v>
      </c>
      <c r="S84" s="36">
        <v>4910.03</v>
      </c>
      <c r="T84" s="35">
        <v>4940.4399999999996</v>
      </c>
      <c r="U84" s="84">
        <v>6.1929999999999997E-3</v>
      </c>
    </row>
    <row r="85" spans="2:21" x14ac:dyDescent="0.2">
      <c r="B85" s="2">
        <f t="shared" si="8"/>
        <v>43647</v>
      </c>
      <c r="C85" s="2" t="s">
        <v>63</v>
      </c>
      <c r="D85" s="2" t="s">
        <v>13</v>
      </c>
      <c r="E85" s="73">
        <v>220</v>
      </c>
      <c r="F85" s="107">
        <v>5523.4</v>
      </c>
      <c r="G85" s="107">
        <v>5727.94</v>
      </c>
      <c r="H85" s="108">
        <v>3.7032000000000002E-2</v>
      </c>
      <c r="I85" s="163"/>
      <c r="J85" s="2">
        <f t="shared" si="7"/>
        <v>43647</v>
      </c>
      <c r="K85" s="2" t="s">
        <v>63</v>
      </c>
      <c r="L85" s="2" t="s">
        <v>48</v>
      </c>
      <c r="M85" s="78">
        <v>220</v>
      </c>
      <c r="N85" s="107">
        <v>5336.31</v>
      </c>
      <c r="O85" s="107">
        <v>5530.94</v>
      </c>
      <c r="P85" s="109">
        <v>3.6472999999999998E-2</v>
      </c>
      <c r="Q85" s="31" t="s">
        <v>56</v>
      </c>
      <c r="R85" s="78">
        <v>220</v>
      </c>
      <c r="S85" s="110">
        <v>4910.03</v>
      </c>
      <c r="T85" s="107">
        <v>5093.38</v>
      </c>
      <c r="U85" s="108">
        <v>3.7342E-2</v>
      </c>
    </row>
    <row r="86" spans="2:21" x14ac:dyDescent="0.2">
      <c r="B86" s="38">
        <f t="shared" si="8"/>
        <v>43678</v>
      </c>
      <c r="C86" s="38" t="s">
        <v>63</v>
      </c>
      <c r="D86" s="38" t="s">
        <v>13</v>
      </c>
      <c r="E86" s="72">
        <v>220</v>
      </c>
      <c r="F86" s="35">
        <v>5523.4</v>
      </c>
      <c r="G86" s="35">
        <v>5733.09</v>
      </c>
      <c r="H86" s="84">
        <v>3.7963999999999998E-2</v>
      </c>
      <c r="I86" s="163"/>
      <c r="J86" s="38">
        <f t="shared" si="7"/>
        <v>43678</v>
      </c>
      <c r="K86" s="38" t="s">
        <v>63</v>
      </c>
      <c r="L86" s="38" t="s">
        <v>48</v>
      </c>
      <c r="M86" s="77">
        <v>220</v>
      </c>
      <c r="N86" s="35">
        <v>5336.31</v>
      </c>
      <c r="O86" s="35">
        <v>5535.6</v>
      </c>
      <c r="P86" s="42">
        <v>3.7345999999999997E-2</v>
      </c>
      <c r="Q86" s="37" t="s">
        <v>56</v>
      </c>
      <c r="R86" s="77">
        <v>220</v>
      </c>
      <c r="S86" s="36">
        <v>4910.03</v>
      </c>
      <c r="T86" s="35">
        <v>5097.5200000000004</v>
      </c>
      <c r="U86" s="84">
        <v>3.8184999999999997E-2</v>
      </c>
    </row>
    <row r="87" spans="2:21" ht="13.5" thickBot="1" x14ac:dyDescent="0.25">
      <c r="B87" s="117">
        <f t="shared" si="8"/>
        <v>43709</v>
      </c>
      <c r="C87" s="117" t="s">
        <v>63</v>
      </c>
      <c r="D87" s="117" t="s">
        <v>13</v>
      </c>
      <c r="E87" s="127">
        <v>220</v>
      </c>
      <c r="F87" s="159">
        <v>5523.4</v>
      </c>
      <c r="G87" s="159">
        <v>5724.77</v>
      </c>
      <c r="H87" s="162">
        <v>3.6457999999999997E-2</v>
      </c>
      <c r="I87" s="163"/>
      <c r="J87" s="117">
        <f t="shared" si="7"/>
        <v>43709</v>
      </c>
      <c r="K87" s="117" t="s">
        <v>63</v>
      </c>
      <c r="L87" s="117" t="s">
        <v>48</v>
      </c>
      <c r="M87" s="146">
        <v>220</v>
      </c>
      <c r="N87" s="159">
        <v>5336.31</v>
      </c>
      <c r="O87" s="159">
        <v>5527.69</v>
      </c>
      <c r="P87" s="161">
        <v>3.5864E-2</v>
      </c>
      <c r="Q87" s="148" t="s">
        <v>56</v>
      </c>
      <c r="R87" s="146">
        <v>220</v>
      </c>
      <c r="S87" s="160">
        <v>4910.03</v>
      </c>
      <c r="T87" s="159">
        <v>5089.24</v>
      </c>
      <c r="U87" s="162">
        <v>3.6498999999999997E-2</v>
      </c>
    </row>
    <row r="88" spans="2:21" x14ac:dyDescent="0.2">
      <c r="B88" s="165"/>
      <c r="C88" s="167"/>
      <c r="D88" s="167"/>
      <c r="E88" s="168"/>
      <c r="F88" s="166"/>
      <c r="G88" s="166"/>
      <c r="H88" s="169"/>
      <c r="I88" s="163"/>
      <c r="J88" s="120">
        <f t="shared" si="7"/>
        <v>43739</v>
      </c>
      <c r="K88" s="120" t="s">
        <v>64</v>
      </c>
      <c r="L88" s="120" t="s">
        <v>48</v>
      </c>
      <c r="M88" s="121">
        <v>220</v>
      </c>
      <c r="N88" s="142">
        <v>5528.39</v>
      </c>
      <c r="O88" s="142">
        <v>5670.45</v>
      </c>
      <c r="P88" s="150">
        <v>2.5696E-2</v>
      </c>
      <c r="Q88" s="124" t="s">
        <v>56</v>
      </c>
      <c r="R88" s="121">
        <v>220</v>
      </c>
      <c r="S88" s="143">
        <v>5091.32</v>
      </c>
      <c r="T88" s="142">
        <v>5227.07</v>
      </c>
      <c r="U88" s="145">
        <v>2.6662999999999999E-2</v>
      </c>
    </row>
    <row r="89" spans="2:21" x14ac:dyDescent="0.2">
      <c r="B89" s="170"/>
      <c r="C89" s="172"/>
      <c r="D89" s="172"/>
      <c r="E89" s="173"/>
      <c r="F89" s="171"/>
      <c r="G89" s="171"/>
      <c r="H89" s="174"/>
      <c r="I89" s="164"/>
      <c r="J89" s="117">
        <f t="shared" si="7"/>
        <v>43770</v>
      </c>
      <c r="K89" s="117" t="s">
        <v>64</v>
      </c>
      <c r="L89" s="117" t="s">
        <v>48</v>
      </c>
      <c r="M89" s="146">
        <v>220</v>
      </c>
      <c r="N89" s="159">
        <v>5528.39</v>
      </c>
      <c r="O89" s="159">
        <v>5705.57</v>
      </c>
      <c r="P89" s="161">
        <v>3.2049000000000001E-2</v>
      </c>
      <c r="Q89" s="148" t="s">
        <v>56</v>
      </c>
      <c r="R89" s="146">
        <v>220</v>
      </c>
      <c r="S89" s="160">
        <v>5091.32</v>
      </c>
      <c r="T89" s="159">
        <v>5261.02</v>
      </c>
      <c r="U89" s="162">
        <v>3.3331E-2</v>
      </c>
    </row>
    <row r="90" spans="2:21" x14ac:dyDescent="0.2">
      <c r="B90" s="170"/>
      <c r="C90" s="172"/>
      <c r="D90" s="172"/>
      <c r="E90" s="173"/>
      <c r="F90" s="171"/>
      <c r="G90" s="171"/>
      <c r="H90" s="174"/>
      <c r="I90" s="164"/>
      <c r="J90" s="64">
        <f t="shared" si="7"/>
        <v>43800</v>
      </c>
      <c r="K90" s="64" t="s">
        <v>64</v>
      </c>
      <c r="L90" s="64" t="s">
        <v>48</v>
      </c>
      <c r="M90" s="81">
        <v>220</v>
      </c>
      <c r="N90" s="66">
        <v>5528.39</v>
      </c>
      <c r="O90" s="66">
        <v>5747.21</v>
      </c>
      <c r="P90" s="67">
        <v>3.9580999999999998E-2</v>
      </c>
      <c r="Q90" s="65" t="s">
        <v>56</v>
      </c>
      <c r="R90" s="81">
        <v>220</v>
      </c>
      <c r="S90" s="68">
        <v>5091.32</v>
      </c>
      <c r="T90" s="66">
        <v>5299.07</v>
      </c>
      <c r="U90" s="90">
        <v>4.0805000000000001E-2</v>
      </c>
    </row>
    <row r="91" spans="2:21" x14ac:dyDescent="0.2">
      <c r="B91" s="170"/>
      <c r="C91" s="172"/>
      <c r="D91" s="172"/>
      <c r="E91" s="173"/>
      <c r="F91" s="171"/>
      <c r="G91" s="171"/>
      <c r="H91" s="174"/>
      <c r="I91" s="164"/>
      <c r="J91" s="2">
        <f t="shared" ref="J91:J118" si="9">+DATE(YEAR(J90),MONTH(J90)+1,1)</f>
        <v>43831</v>
      </c>
      <c r="K91" s="2" t="s">
        <v>64</v>
      </c>
      <c r="L91" s="2" t="s">
        <v>48</v>
      </c>
      <c r="M91" s="78">
        <v>220</v>
      </c>
      <c r="N91" s="107">
        <v>5528.39</v>
      </c>
      <c r="O91" s="107">
        <v>6024.89</v>
      </c>
      <c r="P91" s="109">
        <v>8.9809E-2</v>
      </c>
      <c r="Q91" s="31" t="s">
        <v>56</v>
      </c>
      <c r="R91" s="78">
        <v>220</v>
      </c>
      <c r="S91" s="110">
        <v>5091.32</v>
      </c>
      <c r="T91" s="107">
        <v>5566.62</v>
      </c>
      <c r="U91" s="108">
        <v>9.3354999999999994E-2</v>
      </c>
    </row>
    <row r="92" spans="2:21" x14ac:dyDescent="0.2">
      <c r="B92" s="170"/>
      <c r="C92" s="172"/>
      <c r="D92" s="172"/>
      <c r="E92" s="173"/>
      <c r="F92" s="171"/>
      <c r="G92" s="171"/>
      <c r="H92" s="174"/>
      <c r="I92" s="164"/>
      <c r="J92" s="175">
        <f t="shared" si="9"/>
        <v>43862</v>
      </c>
      <c r="K92" s="175" t="s">
        <v>64</v>
      </c>
      <c r="L92" s="175" t="s">
        <v>48</v>
      </c>
      <c r="M92" s="176">
        <v>220</v>
      </c>
      <c r="N92" s="177">
        <v>5528.39</v>
      </c>
      <c r="O92" s="177">
        <v>6003.75</v>
      </c>
      <c r="P92" s="178">
        <v>8.5985000000000006E-2</v>
      </c>
      <c r="Q92" s="179" t="s">
        <v>56</v>
      </c>
      <c r="R92" s="176">
        <v>220</v>
      </c>
      <c r="S92" s="151">
        <v>5091.32</v>
      </c>
      <c r="T92" s="177">
        <v>5545.98</v>
      </c>
      <c r="U92" s="180">
        <v>8.9301000000000005E-2</v>
      </c>
    </row>
    <row r="93" spans="2:21" ht="13.5" thickBot="1" x14ac:dyDescent="0.25">
      <c r="B93" s="170"/>
      <c r="C93" s="172"/>
      <c r="D93" s="172"/>
      <c r="E93" s="173"/>
      <c r="F93" s="171"/>
      <c r="G93" s="171"/>
      <c r="H93" s="174"/>
      <c r="I93" s="164"/>
      <c r="J93" s="117">
        <f t="shared" si="9"/>
        <v>43891</v>
      </c>
      <c r="K93" s="117" t="s">
        <v>64</v>
      </c>
      <c r="L93" s="117" t="s">
        <v>48</v>
      </c>
      <c r="M93" s="146">
        <v>220</v>
      </c>
      <c r="N93" s="159">
        <v>5528.39</v>
      </c>
      <c r="O93" s="159">
        <v>6031.6</v>
      </c>
      <c r="P93" s="161">
        <v>9.1023000000000007E-2</v>
      </c>
      <c r="Q93" s="148" t="s">
        <v>56</v>
      </c>
      <c r="R93" s="146">
        <v>220</v>
      </c>
      <c r="S93" s="160">
        <v>5091.32</v>
      </c>
      <c r="T93" s="159">
        <v>5571.23</v>
      </c>
      <c r="U93" s="162">
        <v>9.4259999999999997E-2</v>
      </c>
    </row>
    <row r="94" spans="2:21" x14ac:dyDescent="0.2">
      <c r="B94" s="170"/>
      <c r="C94" s="172"/>
      <c r="D94" s="172"/>
      <c r="E94" s="173"/>
      <c r="F94" s="171"/>
      <c r="G94" s="171"/>
      <c r="H94" s="174"/>
      <c r="I94" s="164"/>
      <c r="J94" s="120">
        <f t="shared" si="9"/>
        <v>43922</v>
      </c>
      <c r="K94" s="120" t="s">
        <v>69</v>
      </c>
      <c r="L94" s="120" t="s">
        <v>48</v>
      </c>
      <c r="M94" s="121">
        <v>220</v>
      </c>
      <c r="N94" s="142">
        <v>6017.18</v>
      </c>
      <c r="O94" s="142">
        <v>6152.9</v>
      </c>
      <c r="P94" s="150">
        <v>2.2554999999999999E-2</v>
      </c>
      <c r="Q94" s="124" t="s">
        <v>56</v>
      </c>
      <c r="R94" s="121">
        <v>220</v>
      </c>
      <c r="S94" s="143">
        <v>5560.11</v>
      </c>
      <c r="T94" s="142">
        <v>5688.11</v>
      </c>
      <c r="U94" s="145">
        <v>2.3021E-2</v>
      </c>
    </row>
    <row r="95" spans="2:21" x14ac:dyDescent="0.2">
      <c r="B95" s="170"/>
      <c r="C95" s="172"/>
      <c r="D95" s="172"/>
      <c r="E95" s="173"/>
      <c r="F95" s="171"/>
      <c r="G95" s="171"/>
      <c r="H95" s="174"/>
      <c r="I95" s="164"/>
      <c r="J95" s="181">
        <f t="shared" si="9"/>
        <v>43952</v>
      </c>
      <c r="K95" s="181" t="s">
        <v>69</v>
      </c>
      <c r="L95" s="181" t="s">
        <v>48</v>
      </c>
      <c r="M95" s="185">
        <v>220</v>
      </c>
      <c r="N95" s="182">
        <v>6017.18</v>
      </c>
      <c r="O95" s="182">
        <v>6360.41</v>
      </c>
      <c r="P95" s="186">
        <v>5.7042000000000002E-2</v>
      </c>
      <c r="Q95" s="187" t="s">
        <v>56</v>
      </c>
      <c r="R95" s="185">
        <v>220</v>
      </c>
      <c r="S95" s="188">
        <v>5560.11</v>
      </c>
      <c r="T95" s="182">
        <v>5888.02</v>
      </c>
      <c r="U95" s="189">
        <v>5.8975E-2</v>
      </c>
    </row>
    <row r="96" spans="2:21" x14ac:dyDescent="0.2">
      <c r="B96" s="170"/>
      <c r="C96" s="172"/>
      <c r="D96" s="172"/>
      <c r="E96" s="173"/>
      <c r="F96" s="171"/>
      <c r="G96" s="171"/>
      <c r="H96" s="174"/>
      <c r="I96" s="164"/>
      <c r="J96" s="64">
        <f t="shared" si="9"/>
        <v>43983</v>
      </c>
      <c r="K96" s="64" t="s">
        <v>69</v>
      </c>
      <c r="L96" s="64" t="s">
        <v>48</v>
      </c>
      <c r="M96" s="81">
        <v>220</v>
      </c>
      <c r="N96" s="66">
        <v>6017.18</v>
      </c>
      <c r="O96" s="66">
        <v>6437.01</v>
      </c>
      <c r="P96" s="67">
        <v>6.9772000000000001E-2</v>
      </c>
      <c r="Q96" s="65" t="s">
        <v>56</v>
      </c>
      <c r="R96" s="81">
        <v>220</v>
      </c>
      <c r="S96" s="68">
        <v>5560.11</v>
      </c>
      <c r="T96" s="66">
        <v>5962.23</v>
      </c>
      <c r="U96" s="90">
        <v>7.2321999999999997E-2</v>
      </c>
    </row>
    <row r="97" spans="2:23" x14ac:dyDescent="0.2">
      <c r="B97" s="170"/>
      <c r="C97" s="172"/>
      <c r="D97" s="172"/>
      <c r="E97" s="173"/>
      <c r="F97" s="171"/>
      <c r="G97" s="171"/>
      <c r="H97" s="174"/>
      <c r="I97" s="164"/>
      <c r="J97" s="2">
        <f t="shared" si="9"/>
        <v>44013</v>
      </c>
      <c r="K97" s="2" t="s">
        <v>69</v>
      </c>
      <c r="L97" s="2" t="s">
        <v>48</v>
      </c>
      <c r="M97" s="78">
        <v>220</v>
      </c>
      <c r="N97" s="107">
        <v>6017.18</v>
      </c>
      <c r="O97" s="107">
        <v>6300.51</v>
      </c>
      <c r="P97" s="109">
        <v>4.7086999999999997E-2</v>
      </c>
      <c r="Q97" s="31" t="s">
        <v>56</v>
      </c>
      <c r="R97" s="78">
        <v>220</v>
      </c>
      <c r="S97" s="110">
        <v>5560.11</v>
      </c>
      <c r="T97" s="107">
        <v>5830.21</v>
      </c>
      <c r="U97" s="108">
        <v>4.8578000000000003E-2</v>
      </c>
    </row>
    <row r="98" spans="2:23" x14ac:dyDescent="0.2">
      <c r="B98" s="170"/>
      <c r="C98" s="172"/>
      <c r="D98" s="172"/>
      <c r="E98" s="173"/>
      <c r="F98" s="171"/>
      <c r="G98" s="171"/>
      <c r="H98" s="174"/>
      <c r="I98" s="164"/>
      <c r="J98" s="64">
        <f t="shared" si="9"/>
        <v>44044</v>
      </c>
      <c r="K98" s="64" t="s">
        <v>69</v>
      </c>
      <c r="L98" s="64" t="s">
        <v>48</v>
      </c>
      <c r="M98" s="81">
        <v>220</v>
      </c>
      <c r="N98" s="66">
        <v>6017.18</v>
      </c>
      <c r="O98" s="66">
        <v>6182.95</v>
      </c>
      <c r="P98" s="67">
        <v>2.7549000000000001E-2</v>
      </c>
      <c r="Q98" s="65" t="s">
        <v>56</v>
      </c>
      <c r="R98" s="81">
        <v>220</v>
      </c>
      <c r="S98" s="68">
        <v>5560.11</v>
      </c>
      <c r="T98" s="66">
        <v>5716.58</v>
      </c>
      <c r="U98" s="90">
        <v>2.8142E-2</v>
      </c>
    </row>
    <row r="99" spans="2:23" ht="13.5" thickBot="1" x14ac:dyDescent="0.25">
      <c r="B99" s="170"/>
      <c r="C99" s="172"/>
      <c r="D99" s="172"/>
      <c r="E99" s="173"/>
      <c r="F99" s="171"/>
      <c r="G99" s="171"/>
      <c r="H99" s="174"/>
      <c r="I99" s="164"/>
      <c r="J99" s="91">
        <f t="shared" si="9"/>
        <v>44075</v>
      </c>
      <c r="K99" s="91" t="s">
        <v>69</v>
      </c>
      <c r="L99" s="91" t="s">
        <v>48</v>
      </c>
      <c r="M99" s="93">
        <v>220</v>
      </c>
      <c r="N99" s="190">
        <v>6017.18</v>
      </c>
      <c r="O99" s="190">
        <v>6142.69</v>
      </c>
      <c r="P99" s="191">
        <v>2.0858999999999999E-2</v>
      </c>
      <c r="Q99" s="96" t="s">
        <v>56</v>
      </c>
      <c r="R99" s="93">
        <v>220</v>
      </c>
      <c r="S99" s="192">
        <v>5560.11</v>
      </c>
      <c r="T99" s="190">
        <v>5677.03</v>
      </c>
      <c r="U99" s="193">
        <v>2.1028000000000002E-2</v>
      </c>
    </row>
    <row r="100" spans="2:23" x14ac:dyDescent="0.2">
      <c r="B100" s="170"/>
      <c r="C100" s="172"/>
      <c r="D100" s="172"/>
      <c r="E100" s="173"/>
      <c r="F100" s="171"/>
      <c r="G100" s="171"/>
      <c r="H100" s="174"/>
      <c r="I100" s="164"/>
      <c r="J100" s="175">
        <f t="shared" si="9"/>
        <v>44105</v>
      </c>
      <c r="K100" s="175" t="s">
        <v>70</v>
      </c>
      <c r="L100" s="175" t="s">
        <v>48</v>
      </c>
      <c r="M100" s="176">
        <v>220</v>
      </c>
      <c r="N100" s="177">
        <v>6303.36</v>
      </c>
      <c r="O100" s="177">
        <v>6146.19</v>
      </c>
      <c r="P100" s="178">
        <v>-2.4934000000000001E-2</v>
      </c>
      <c r="Q100" s="179" t="s">
        <v>56</v>
      </c>
      <c r="R100" s="176">
        <v>220</v>
      </c>
      <c r="S100" s="151">
        <v>5832.88</v>
      </c>
      <c r="T100" s="177">
        <v>5679.37</v>
      </c>
      <c r="U100" s="180">
        <v>-2.6318000000000001E-2</v>
      </c>
      <c r="W100" s="10"/>
    </row>
    <row r="101" spans="2:23" x14ac:dyDescent="0.2">
      <c r="B101" s="170"/>
      <c r="C101" s="172"/>
      <c r="D101" s="172"/>
      <c r="E101" s="173"/>
      <c r="F101" s="171"/>
      <c r="G101" s="171"/>
      <c r="H101" s="174"/>
      <c r="I101" s="164"/>
      <c r="J101" s="117">
        <f t="shared" si="9"/>
        <v>44136</v>
      </c>
      <c r="K101" s="117" t="s">
        <v>70</v>
      </c>
      <c r="L101" s="117" t="s">
        <v>48</v>
      </c>
      <c r="M101" s="146">
        <v>220</v>
      </c>
      <c r="N101" s="159">
        <v>6303.36</v>
      </c>
      <c r="O101" s="159">
        <v>6086.45</v>
      </c>
      <c r="P101" s="161">
        <v>-3.4411999999999998E-2</v>
      </c>
      <c r="Q101" s="148" t="s">
        <v>56</v>
      </c>
      <c r="R101" s="146">
        <v>220</v>
      </c>
      <c r="S101" s="160">
        <v>5832.88</v>
      </c>
      <c r="T101" s="159">
        <v>5618.98</v>
      </c>
      <c r="U101" s="162">
        <v>-3.6671000000000002E-2</v>
      </c>
    </row>
    <row r="102" spans="2:23" x14ac:dyDescent="0.2">
      <c r="B102" s="170"/>
      <c r="C102" s="172"/>
      <c r="D102" s="172"/>
      <c r="E102" s="173"/>
      <c r="F102" s="171"/>
      <c r="G102" s="171"/>
      <c r="H102" s="174"/>
      <c r="I102" s="164"/>
      <c r="J102" s="64">
        <f t="shared" si="9"/>
        <v>44166</v>
      </c>
      <c r="K102" s="64" t="s">
        <v>70</v>
      </c>
      <c r="L102" s="64" t="s">
        <v>48</v>
      </c>
      <c r="M102" s="81">
        <v>220</v>
      </c>
      <c r="N102" s="66">
        <v>6303.36</v>
      </c>
      <c r="O102" s="66">
        <v>6189.48</v>
      </c>
      <c r="P102" s="67">
        <v>-1.8067E-2</v>
      </c>
      <c r="Q102" s="65" t="s">
        <v>56</v>
      </c>
      <c r="R102" s="81">
        <v>220</v>
      </c>
      <c r="S102" s="68">
        <v>5832.88</v>
      </c>
      <c r="T102" s="66">
        <v>5717.14</v>
      </c>
      <c r="U102" s="90">
        <v>-1.9843E-2</v>
      </c>
    </row>
    <row r="103" spans="2:23" x14ac:dyDescent="0.2">
      <c r="B103" s="170"/>
      <c r="C103" s="172"/>
      <c r="D103" s="172"/>
      <c r="E103" s="173"/>
      <c r="F103" s="171"/>
      <c r="G103" s="171"/>
      <c r="H103" s="174"/>
      <c r="I103" s="164"/>
      <c r="J103" s="117">
        <f t="shared" si="9"/>
        <v>44197</v>
      </c>
      <c r="K103" s="117" t="s">
        <v>70</v>
      </c>
      <c r="L103" s="117" t="s">
        <v>48</v>
      </c>
      <c r="M103" s="146">
        <v>220</v>
      </c>
      <c r="N103" s="159">
        <v>6303.36</v>
      </c>
      <c r="O103" s="159">
        <v>6094.17</v>
      </c>
      <c r="P103" s="161">
        <v>-3.3187000000000001E-2</v>
      </c>
      <c r="Q103" s="148" t="s">
        <v>56</v>
      </c>
      <c r="R103" s="146">
        <v>220</v>
      </c>
      <c r="S103" s="160">
        <v>5832.88</v>
      </c>
      <c r="T103" s="159">
        <v>5625.37</v>
      </c>
      <c r="U103" s="162">
        <v>-3.5576000000000003E-2</v>
      </c>
      <c r="W103" s="209"/>
    </row>
    <row r="104" spans="2:23" x14ac:dyDescent="0.2">
      <c r="B104" s="170"/>
      <c r="C104" s="172"/>
      <c r="D104" s="172"/>
      <c r="E104" s="173"/>
      <c r="F104" s="171"/>
      <c r="G104" s="171"/>
      <c r="H104" s="174"/>
      <c r="I104" s="164"/>
      <c r="J104" s="64">
        <f t="shared" si="9"/>
        <v>44228</v>
      </c>
      <c r="K104" s="64" t="s">
        <v>70</v>
      </c>
      <c r="L104" s="64" t="s">
        <v>48</v>
      </c>
      <c r="M104" s="81">
        <v>220</v>
      </c>
      <c r="N104" s="66">
        <v>6303.36</v>
      </c>
      <c r="O104" s="66">
        <v>5978.27</v>
      </c>
      <c r="P104" s="67">
        <v>-5.1574000000000002E-2</v>
      </c>
      <c r="Q104" s="65" t="s">
        <v>56</v>
      </c>
      <c r="R104" s="81">
        <v>220</v>
      </c>
      <c r="S104" s="68">
        <v>5832.88</v>
      </c>
      <c r="T104" s="66">
        <v>5512.39</v>
      </c>
      <c r="U104" s="90">
        <v>-5.4945000000000001E-2</v>
      </c>
    </row>
    <row r="105" spans="2:23" ht="13.5" thickBot="1" x14ac:dyDescent="0.25">
      <c r="B105" s="170"/>
      <c r="C105" s="172"/>
      <c r="D105" s="172"/>
      <c r="E105" s="173"/>
      <c r="F105" s="171"/>
      <c r="G105" s="171"/>
      <c r="H105" s="174"/>
      <c r="I105" s="164"/>
      <c r="J105" s="117">
        <f t="shared" si="9"/>
        <v>44256</v>
      </c>
      <c r="K105" s="117" t="s">
        <v>70</v>
      </c>
      <c r="L105" s="117" t="s">
        <v>48</v>
      </c>
      <c r="M105" s="146">
        <v>220</v>
      </c>
      <c r="N105" s="159">
        <v>6303.36</v>
      </c>
      <c r="O105" s="159">
        <v>5938.3</v>
      </c>
      <c r="P105" s="161">
        <v>-5.7915000000000001E-2</v>
      </c>
      <c r="Q105" s="148" t="s">
        <v>56</v>
      </c>
      <c r="R105" s="146">
        <v>220</v>
      </c>
      <c r="S105" s="160">
        <v>5832.88</v>
      </c>
      <c r="T105" s="159">
        <v>5471.93</v>
      </c>
      <c r="U105" s="162">
        <v>-6.1882E-2</v>
      </c>
    </row>
    <row r="106" spans="2:23" x14ac:dyDescent="0.2">
      <c r="B106" s="170"/>
      <c r="C106" s="172"/>
      <c r="D106" s="172"/>
      <c r="E106" s="173"/>
      <c r="F106" s="171"/>
      <c r="G106" s="171"/>
      <c r="H106" s="174"/>
      <c r="I106" s="163"/>
      <c r="J106" s="144">
        <f t="shared" si="9"/>
        <v>44287</v>
      </c>
      <c r="K106" s="144" t="s">
        <v>75</v>
      </c>
      <c r="L106" s="144" t="s">
        <v>48</v>
      </c>
      <c r="M106" s="155">
        <v>220</v>
      </c>
      <c r="N106" s="153">
        <v>6086.33</v>
      </c>
      <c r="O106" s="153">
        <v>5933.12</v>
      </c>
      <c r="P106" s="156">
        <v>-2.5173000000000001E-2</v>
      </c>
      <c r="Q106" s="157" t="s">
        <v>56</v>
      </c>
      <c r="R106" s="155">
        <v>220</v>
      </c>
      <c r="S106" s="158">
        <v>5618.31</v>
      </c>
      <c r="T106" s="153">
        <v>5467.38</v>
      </c>
      <c r="U106" s="154">
        <v>-2.6863999999999999E-2</v>
      </c>
    </row>
    <row r="107" spans="2:23" x14ac:dyDescent="0.2">
      <c r="B107" s="170"/>
      <c r="C107" s="172"/>
      <c r="D107" s="172"/>
      <c r="E107" s="173"/>
      <c r="F107" s="171"/>
      <c r="G107" s="171"/>
      <c r="H107" s="174"/>
      <c r="I107" s="163"/>
      <c r="J107" s="194">
        <f t="shared" si="9"/>
        <v>44317</v>
      </c>
      <c r="K107" s="194" t="s">
        <v>75</v>
      </c>
      <c r="L107" s="194" t="s">
        <v>48</v>
      </c>
      <c r="M107" s="197">
        <v>220</v>
      </c>
      <c r="N107" s="195">
        <v>6086.33</v>
      </c>
      <c r="O107" s="195">
        <v>5966.98</v>
      </c>
      <c r="P107" s="198">
        <v>-1.9609999999999999E-2</v>
      </c>
      <c r="Q107" s="199" t="s">
        <v>56</v>
      </c>
      <c r="R107" s="197">
        <v>220</v>
      </c>
      <c r="S107" s="200">
        <v>5618.31</v>
      </c>
      <c r="T107" s="195">
        <v>5499.19</v>
      </c>
      <c r="U107" s="201">
        <v>-2.1201999999999999E-2</v>
      </c>
    </row>
    <row r="108" spans="2:23" x14ac:dyDescent="0.2">
      <c r="B108" s="170"/>
      <c r="C108" s="172"/>
      <c r="D108" s="172"/>
      <c r="E108" s="173"/>
      <c r="F108" s="171"/>
      <c r="G108" s="171"/>
      <c r="H108" s="174"/>
      <c r="I108" s="164"/>
      <c r="J108" s="64">
        <f t="shared" si="9"/>
        <v>44348</v>
      </c>
      <c r="K108" s="64" t="s">
        <v>75</v>
      </c>
      <c r="L108" s="64" t="s">
        <v>48</v>
      </c>
      <c r="M108" s="81">
        <v>220</v>
      </c>
      <c r="N108" s="66">
        <v>6086.33</v>
      </c>
      <c r="O108" s="66">
        <v>5897.02</v>
      </c>
      <c r="P108" s="67">
        <v>-3.1104E-2</v>
      </c>
      <c r="Q108" s="65" t="s">
        <v>56</v>
      </c>
      <c r="R108" s="81">
        <v>220</v>
      </c>
      <c r="S108" s="68">
        <v>5618.31</v>
      </c>
      <c r="T108" s="66">
        <v>5430.68</v>
      </c>
      <c r="U108" s="90">
        <v>-3.3396000000000002E-2</v>
      </c>
    </row>
    <row r="109" spans="2:23" x14ac:dyDescent="0.2">
      <c r="B109" s="170"/>
      <c r="C109" s="172"/>
      <c r="D109" s="172"/>
      <c r="E109" s="173"/>
      <c r="F109" s="171"/>
      <c r="G109" s="171"/>
      <c r="H109" s="174"/>
      <c r="I109" s="164"/>
      <c r="J109" s="117">
        <f t="shared" si="9"/>
        <v>44378</v>
      </c>
      <c r="K109" s="117" t="s">
        <v>75</v>
      </c>
      <c r="L109" s="117" t="s">
        <v>48</v>
      </c>
      <c r="M109" s="146">
        <v>220</v>
      </c>
      <c r="N109" s="159">
        <v>6086.33</v>
      </c>
      <c r="O109" s="159">
        <v>5936.22</v>
      </c>
      <c r="P109" s="161">
        <v>-2.4663000000000001E-2</v>
      </c>
      <c r="Q109" s="148" t="s">
        <v>56</v>
      </c>
      <c r="R109" s="146">
        <v>220</v>
      </c>
      <c r="S109" s="160">
        <v>5618.31</v>
      </c>
      <c r="T109" s="159">
        <v>5468.04</v>
      </c>
      <c r="U109" s="162">
        <v>-2.6745999999999999E-2</v>
      </c>
    </row>
    <row r="110" spans="2:23" x14ac:dyDescent="0.2">
      <c r="B110" s="170"/>
      <c r="C110" s="172"/>
      <c r="D110" s="172"/>
      <c r="E110" s="173"/>
      <c r="F110" s="171"/>
      <c r="G110" s="171"/>
      <c r="H110" s="174"/>
      <c r="I110" s="164"/>
      <c r="J110" s="64">
        <f t="shared" si="9"/>
        <v>44409</v>
      </c>
      <c r="K110" s="64" t="s">
        <v>75</v>
      </c>
      <c r="L110" s="64" t="s">
        <v>48</v>
      </c>
      <c r="M110" s="81">
        <v>220</v>
      </c>
      <c r="N110" s="66">
        <v>6086.33</v>
      </c>
      <c r="O110" s="66">
        <v>6024.6</v>
      </c>
      <c r="P110" s="67">
        <v>-1.0142E-2</v>
      </c>
      <c r="Q110" s="65" t="s">
        <v>56</v>
      </c>
      <c r="R110" s="81">
        <v>220</v>
      </c>
      <c r="S110" s="68">
        <v>5618.31</v>
      </c>
      <c r="T110" s="66">
        <v>5553.68</v>
      </c>
      <c r="U110" s="90">
        <v>-1.1502999999999999E-2</v>
      </c>
    </row>
    <row r="111" spans="2:23" ht="13.5" thickBot="1" x14ac:dyDescent="0.25">
      <c r="B111" s="170"/>
      <c r="C111" s="172"/>
      <c r="D111" s="172"/>
      <c r="E111" s="173"/>
      <c r="F111" s="171"/>
      <c r="G111" s="171"/>
      <c r="H111" s="174"/>
      <c r="I111" s="164"/>
      <c r="J111" s="237">
        <f t="shared" si="9"/>
        <v>44440</v>
      </c>
      <c r="K111" s="237" t="s">
        <v>75</v>
      </c>
      <c r="L111" s="237" t="s">
        <v>48</v>
      </c>
      <c r="M111" s="238">
        <v>220</v>
      </c>
      <c r="N111" s="239">
        <v>6086.33</v>
      </c>
      <c r="O111" s="239">
        <v>6186.09</v>
      </c>
      <c r="P111" s="240">
        <v>1.6390999999999999E-2</v>
      </c>
      <c r="Q111" s="241" t="s">
        <v>56</v>
      </c>
      <c r="R111" s="238">
        <v>220</v>
      </c>
      <c r="S111" s="242">
        <v>5618.31</v>
      </c>
      <c r="T111" s="239">
        <v>5708.21</v>
      </c>
      <c r="U111" s="243">
        <v>1.6001000000000001E-2</v>
      </c>
    </row>
    <row r="112" spans="2:23" x14ac:dyDescent="0.2">
      <c r="B112" s="170"/>
      <c r="C112" s="172"/>
      <c r="D112" s="172"/>
      <c r="E112" s="173"/>
      <c r="F112" s="171"/>
      <c r="G112" s="171"/>
      <c r="H112" s="174"/>
      <c r="I112" s="164"/>
      <c r="J112" s="144">
        <f t="shared" si="9"/>
        <v>44470</v>
      </c>
      <c r="K112" s="144" t="s">
        <v>75</v>
      </c>
      <c r="L112" s="144" t="s">
        <v>48</v>
      </c>
      <c r="M112" s="155">
        <v>220</v>
      </c>
      <c r="N112" s="153">
        <v>6086.33</v>
      </c>
      <c r="O112" s="153">
        <v>6360.6</v>
      </c>
      <c r="P112" s="156">
        <v>4.5062999999999999E-2</v>
      </c>
      <c r="Q112" s="157" t="s">
        <v>56</v>
      </c>
      <c r="R112" s="155">
        <v>220</v>
      </c>
      <c r="S112" s="158">
        <v>5618.31</v>
      </c>
      <c r="T112" s="153">
        <v>5876.43</v>
      </c>
      <c r="U112" s="154">
        <v>4.5942999999999998E-2</v>
      </c>
    </row>
    <row r="113" spans="2:21" x14ac:dyDescent="0.2">
      <c r="B113" s="170"/>
      <c r="C113" s="172"/>
      <c r="D113" s="172"/>
      <c r="E113" s="173"/>
      <c r="F113" s="171"/>
      <c r="G113" s="171"/>
      <c r="H113" s="174"/>
      <c r="I113" s="164"/>
      <c r="J113" s="194">
        <f t="shared" si="9"/>
        <v>44501</v>
      </c>
      <c r="K113" s="194" t="s">
        <v>75</v>
      </c>
      <c r="L113" s="194" t="s">
        <v>48</v>
      </c>
      <c r="M113" s="197">
        <v>220</v>
      </c>
      <c r="N113" s="195">
        <v>6086.33</v>
      </c>
      <c r="O113" s="195">
        <v>6420.97</v>
      </c>
      <c r="P113" s="198">
        <v>5.4982000000000003E-2</v>
      </c>
      <c r="Q113" s="199" t="s">
        <v>56</v>
      </c>
      <c r="R113" s="197">
        <v>220</v>
      </c>
      <c r="S113" s="200">
        <v>5618.31</v>
      </c>
      <c r="T113" s="195">
        <v>5931.88</v>
      </c>
      <c r="U113" s="201">
        <v>5.5812E-2</v>
      </c>
    </row>
    <row r="114" spans="2:21" x14ac:dyDescent="0.2">
      <c r="B114" s="170"/>
      <c r="C114" s="172"/>
      <c r="D114" s="172"/>
      <c r="E114" s="173"/>
      <c r="F114" s="171"/>
      <c r="G114" s="171"/>
      <c r="H114" s="174"/>
      <c r="I114" s="164"/>
      <c r="J114" s="175">
        <f t="shared" si="9"/>
        <v>44531</v>
      </c>
      <c r="K114" s="175" t="s">
        <v>75</v>
      </c>
      <c r="L114" s="175" t="s">
        <v>48</v>
      </c>
      <c r="M114" s="176">
        <v>220</v>
      </c>
      <c r="N114" s="177">
        <v>6086.33</v>
      </c>
      <c r="O114" s="177">
        <v>6660.98</v>
      </c>
      <c r="P114" s="178">
        <v>9.4417000000000001E-2</v>
      </c>
      <c r="Q114" s="179" t="s">
        <v>56</v>
      </c>
      <c r="R114" s="176">
        <v>220</v>
      </c>
      <c r="S114" s="151">
        <v>5618.31</v>
      </c>
      <c r="T114" s="177">
        <v>6160.86</v>
      </c>
      <c r="U114" s="180">
        <v>9.6568000000000001E-2</v>
      </c>
    </row>
    <row r="115" spans="2:21" x14ac:dyDescent="0.2">
      <c r="B115" s="170"/>
      <c r="C115" s="172"/>
      <c r="D115" s="172"/>
      <c r="E115" s="173"/>
      <c r="F115" s="171"/>
      <c r="G115" s="171"/>
      <c r="H115" s="174"/>
      <c r="I115" s="164"/>
      <c r="J115" s="183">
        <f t="shared" si="9"/>
        <v>44562</v>
      </c>
      <c r="K115" s="183" t="s">
        <v>75</v>
      </c>
      <c r="L115" s="183" t="s">
        <v>48</v>
      </c>
      <c r="M115" s="204">
        <v>220</v>
      </c>
      <c r="N115" s="184">
        <v>6086.33</v>
      </c>
      <c r="O115" s="184">
        <v>6674.2</v>
      </c>
      <c r="P115" s="205">
        <v>9.6588999999999994E-2</v>
      </c>
      <c r="Q115" s="206" t="s">
        <v>56</v>
      </c>
      <c r="R115" s="204">
        <v>220</v>
      </c>
      <c r="S115" s="207">
        <v>5618.31</v>
      </c>
      <c r="T115" s="184">
        <v>6172.7</v>
      </c>
      <c r="U115" s="208">
        <v>9.8676E-2</v>
      </c>
    </row>
    <row r="116" spans="2:21" x14ac:dyDescent="0.2">
      <c r="B116" s="170"/>
      <c r="C116" s="172"/>
      <c r="D116" s="172"/>
      <c r="E116" s="173"/>
      <c r="F116" s="171"/>
      <c r="G116" s="171"/>
      <c r="H116" s="174"/>
      <c r="I116" s="164"/>
      <c r="J116" s="64">
        <f t="shared" si="9"/>
        <v>44593</v>
      </c>
      <c r="K116" s="259" t="s">
        <v>75</v>
      </c>
      <c r="L116" s="64" t="s">
        <v>48</v>
      </c>
      <c r="M116" s="81">
        <v>220</v>
      </c>
      <c r="N116" s="66">
        <v>6086.33</v>
      </c>
      <c r="O116" s="66">
        <v>6894.69</v>
      </c>
      <c r="P116" s="67">
        <v>0.13281599999999999</v>
      </c>
      <c r="Q116" s="65" t="s">
        <v>56</v>
      </c>
      <c r="R116" s="81">
        <v>220</v>
      </c>
      <c r="S116" s="68">
        <v>5618.31</v>
      </c>
      <c r="T116" s="66">
        <v>6384.16</v>
      </c>
      <c r="U116" s="90">
        <v>0.13631299999999999</v>
      </c>
    </row>
    <row r="117" spans="2:21" ht="13.5" thickBot="1" x14ac:dyDescent="0.25">
      <c r="H117"/>
      <c r="I117"/>
      <c r="J117" s="237">
        <v>44621</v>
      </c>
      <c r="K117" s="237" t="s">
        <v>122</v>
      </c>
      <c r="L117" s="237" t="s">
        <v>48</v>
      </c>
      <c r="M117" s="238">
        <v>220</v>
      </c>
      <c r="N117" s="239">
        <f>+Indexacion!N10</f>
        <v>6641.26</v>
      </c>
      <c r="O117" s="239">
        <f>+Indexacion!M10</f>
        <v>6641.26</v>
      </c>
      <c r="P117" s="240">
        <f t="shared" ref="P117:P122" si="10">+O117/N117-1</f>
        <v>0</v>
      </c>
      <c r="Q117" s="241" t="s">
        <v>56</v>
      </c>
      <c r="R117" s="238">
        <v>220</v>
      </c>
      <c r="S117" s="242">
        <f>+Indexacion!V10</f>
        <v>6221.93</v>
      </c>
      <c r="T117" s="239">
        <f>+Indexacion!U10</f>
        <v>6221.93</v>
      </c>
      <c r="U117" s="243">
        <f t="shared" ref="U117:U122" si="11">+T117/S117-1</f>
        <v>0</v>
      </c>
    </row>
    <row r="118" spans="2:21" x14ac:dyDescent="0.2">
      <c r="H118"/>
      <c r="I118"/>
      <c r="J118" s="144">
        <f t="shared" si="9"/>
        <v>44652</v>
      </c>
      <c r="K118" s="144" t="s">
        <v>125</v>
      </c>
      <c r="L118" s="144" t="s">
        <v>48</v>
      </c>
      <c r="M118" s="155">
        <v>220</v>
      </c>
      <c r="N118" s="153">
        <f>+Indexacion!N11</f>
        <v>6531.51</v>
      </c>
      <c r="O118" s="153">
        <f>+Indexacion!M11</f>
        <v>6604.98</v>
      </c>
      <c r="P118" s="156">
        <f t="shared" si="10"/>
        <v>1.1248547426245814E-2</v>
      </c>
      <c r="Q118" s="157" t="s">
        <v>56</v>
      </c>
      <c r="R118" s="155">
        <v>220</v>
      </c>
      <c r="S118" s="158">
        <f>+Indexacion!V11</f>
        <v>6119.19</v>
      </c>
      <c r="T118" s="153">
        <f>+Indexacion!U11</f>
        <v>6185.95</v>
      </c>
      <c r="U118" s="154">
        <f t="shared" si="11"/>
        <v>1.0909940694765252E-2</v>
      </c>
    </row>
    <row r="119" spans="2:21" x14ac:dyDescent="0.2">
      <c r="J119" s="183">
        <v>44682</v>
      </c>
      <c r="K119" s="183" t="s">
        <v>125</v>
      </c>
      <c r="L119" s="183" t="s">
        <v>48</v>
      </c>
      <c r="M119" s="204">
        <v>220</v>
      </c>
      <c r="N119" s="184">
        <f>+Indexacion!N12</f>
        <v>6531.51</v>
      </c>
      <c r="O119" s="184">
        <f>+Indexacion!M12</f>
        <v>6632.48</v>
      </c>
      <c r="P119" s="205">
        <f t="shared" si="10"/>
        <v>1.5458906133497319E-2</v>
      </c>
      <c r="Q119" s="206" t="s">
        <v>56</v>
      </c>
      <c r="R119" s="204">
        <v>220</v>
      </c>
      <c r="S119" s="207">
        <f>+Indexacion!V12</f>
        <v>6119.19</v>
      </c>
      <c r="T119" s="184">
        <f>+Indexacion!U12</f>
        <v>6208.83</v>
      </c>
      <c r="U119" s="208">
        <f t="shared" si="11"/>
        <v>1.4648997661455221E-2</v>
      </c>
    </row>
    <row r="120" spans="2:21" x14ac:dyDescent="0.2">
      <c r="J120" s="64">
        <v>44713</v>
      </c>
      <c r="K120" s="259" t="s">
        <v>125</v>
      </c>
      <c r="L120" s="64" t="s">
        <v>48</v>
      </c>
      <c r="M120" s="81">
        <v>220</v>
      </c>
      <c r="N120" s="66">
        <f>+Indexacion!N13</f>
        <v>6531.51</v>
      </c>
      <c r="O120" s="66">
        <f>+Indexacion!M13</f>
        <v>6762.89</v>
      </c>
      <c r="P120" s="67">
        <f t="shared" si="10"/>
        <v>3.5425192643048886E-2</v>
      </c>
      <c r="Q120" s="65" t="s">
        <v>56</v>
      </c>
      <c r="R120" s="81">
        <v>220</v>
      </c>
      <c r="S120" s="68">
        <f>+Indexacion!V13</f>
        <v>6119.19</v>
      </c>
      <c r="T120" s="66">
        <f>+Indexacion!U13</f>
        <v>6332.67</v>
      </c>
      <c r="U120" s="90">
        <f t="shared" si="11"/>
        <v>3.4886970334309098E-2</v>
      </c>
    </row>
    <row r="121" spans="2:21" x14ac:dyDescent="0.2">
      <c r="J121" s="194">
        <v>44743</v>
      </c>
      <c r="K121" s="194" t="s">
        <v>125</v>
      </c>
      <c r="L121" s="194" t="s">
        <v>48</v>
      </c>
      <c r="M121" s="197">
        <v>220</v>
      </c>
      <c r="N121" s="195">
        <f>+Indexacion!N14</f>
        <v>6531.51</v>
      </c>
      <c r="O121" s="195">
        <f>+Indexacion!M14</f>
        <v>6974.26</v>
      </c>
      <c r="P121" s="198">
        <f t="shared" si="10"/>
        <v>6.7786775186748471E-2</v>
      </c>
      <c r="Q121" s="199" t="s">
        <v>56</v>
      </c>
      <c r="R121" s="197">
        <v>220</v>
      </c>
      <c r="S121" s="200">
        <f>+Indexacion!V14</f>
        <v>6119.19</v>
      </c>
      <c r="T121" s="195">
        <f>+Indexacion!U14</f>
        <v>6534.95</v>
      </c>
      <c r="U121" s="201">
        <f t="shared" si="11"/>
        <v>6.7943633062545805E-2</v>
      </c>
    </row>
    <row r="122" spans="2:21" x14ac:dyDescent="0.2">
      <c r="J122" s="38">
        <v>44774</v>
      </c>
      <c r="K122" s="38" t="s">
        <v>125</v>
      </c>
      <c r="L122" s="38" t="s">
        <v>48</v>
      </c>
      <c r="M122" s="77">
        <v>220</v>
      </c>
      <c r="N122" s="35">
        <f>+Indexacion!N15</f>
        <v>6531.51</v>
      </c>
      <c r="O122" s="35">
        <f>+Indexacion!M15</f>
        <v>7093.33</v>
      </c>
      <c r="P122" s="42">
        <f t="shared" si="10"/>
        <v>8.6016862869382482E-2</v>
      </c>
      <c r="Q122" s="37" t="s">
        <v>56</v>
      </c>
      <c r="R122" s="77">
        <v>220</v>
      </c>
      <c r="S122" s="36">
        <f>+Indexacion!V15</f>
        <v>6119.19</v>
      </c>
      <c r="T122" s="35">
        <f>+Indexacion!U15</f>
        <v>6648.92</v>
      </c>
      <c r="U122" s="84">
        <f t="shared" si="11"/>
        <v>8.6568647157548639E-2</v>
      </c>
    </row>
    <row r="123" spans="2:21" ht="13.5" thickBot="1" x14ac:dyDescent="0.25">
      <c r="J123" s="237">
        <v>44805</v>
      </c>
      <c r="K123" s="237" t="s">
        <v>126</v>
      </c>
      <c r="L123" s="237" t="s">
        <v>48</v>
      </c>
      <c r="M123" s="238">
        <v>220</v>
      </c>
      <c r="N123" s="239">
        <f>+Indexacion!N16</f>
        <v>7641.7</v>
      </c>
      <c r="O123" s="239">
        <f>+Indexacion!M16</f>
        <v>7641.7</v>
      </c>
      <c r="P123" s="240">
        <f t="shared" ref="P123" si="12">+O123/N123-1</f>
        <v>0</v>
      </c>
      <c r="Q123" s="241" t="s">
        <v>56</v>
      </c>
      <c r="R123" s="238">
        <v>220</v>
      </c>
      <c r="S123" s="242">
        <f>+Indexacion!V16</f>
        <v>7180.29</v>
      </c>
      <c r="T123" s="239">
        <f>+Indexacion!U16</f>
        <v>7180.29</v>
      </c>
      <c r="U123" s="243">
        <f t="shared" ref="U123" si="13">+T123/S123-1</f>
        <v>0</v>
      </c>
    </row>
    <row r="124" spans="2:21" x14ac:dyDescent="0.2">
      <c r="J124" s="120">
        <v>44835</v>
      </c>
      <c r="K124" s="120" t="s">
        <v>127</v>
      </c>
      <c r="L124" s="120" t="s">
        <v>48</v>
      </c>
      <c r="M124" s="121">
        <v>220</v>
      </c>
      <c r="N124" s="142">
        <f>+Indexacion!N17</f>
        <v>6974.43</v>
      </c>
      <c r="O124" s="142">
        <f>+Indexacion!M17</f>
        <v>7479.97</v>
      </c>
      <c r="P124" s="150">
        <f t="shared" ref="P124" si="14">+O124/N124-1</f>
        <v>7.248477653370955E-2</v>
      </c>
      <c r="Q124" s="124" t="s">
        <v>56</v>
      </c>
      <c r="R124" s="121">
        <v>220</v>
      </c>
      <c r="S124" s="143">
        <f>+Indexacion!V17</f>
        <v>6535.12</v>
      </c>
      <c r="T124" s="142">
        <f>+Indexacion!U17</f>
        <v>7020.38</v>
      </c>
      <c r="U124" s="145">
        <f t="shared" ref="U124" si="15">+T124/S124-1</f>
        <v>7.4254183549804731E-2</v>
      </c>
    </row>
    <row r="125" spans="2:21" x14ac:dyDescent="0.2">
      <c r="J125" s="194">
        <v>44866</v>
      </c>
      <c r="K125" s="194" t="s">
        <v>127</v>
      </c>
      <c r="L125" s="194" t="s">
        <v>48</v>
      </c>
      <c r="M125" s="197">
        <v>220</v>
      </c>
      <c r="N125" s="195">
        <f>+Indexacion!N18</f>
        <v>6974.43</v>
      </c>
      <c r="O125" s="195">
        <f>+Indexacion!M18</f>
        <v>7703.79</v>
      </c>
      <c r="P125" s="198">
        <f t="shared" ref="P125" si="16">+O125/N125-1</f>
        <v>0.10457628795471452</v>
      </c>
      <c r="Q125" s="199" t="s">
        <v>56</v>
      </c>
      <c r="R125" s="197">
        <v>220</v>
      </c>
      <c r="S125" s="200">
        <f>+Indexacion!V18</f>
        <v>6535.12</v>
      </c>
      <c r="T125" s="195">
        <f>+Indexacion!U18</f>
        <v>7235.92</v>
      </c>
      <c r="U125" s="201">
        <f t="shared" ref="U125" si="17">+T125/S125-1</f>
        <v>0.10723598036455351</v>
      </c>
    </row>
    <row r="126" spans="2:21" x14ac:dyDescent="0.2">
      <c r="J126" s="38">
        <v>44896</v>
      </c>
      <c r="K126" s="38" t="s">
        <v>129</v>
      </c>
      <c r="L126" s="38" t="s">
        <v>48</v>
      </c>
      <c r="M126" s="77">
        <v>220</v>
      </c>
      <c r="N126" s="35">
        <f>+Indexacion!N19</f>
        <v>7940</v>
      </c>
      <c r="O126" s="35">
        <f>+Indexacion!M19</f>
        <v>7940</v>
      </c>
      <c r="P126" s="42">
        <f t="shared" ref="P126" si="18">+O126/N126-1</f>
        <v>0</v>
      </c>
      <c r="Q126" s="37" t="s">
        <v>56</v>
      </c>
      <c r="R126" s="77">
        <v>220</v>
      </c>
      <c r="S126" s="36">
        <f>+Indexacion!V19</f>
        <v>7465.69</v>
      </c>
      <c r="T126" s="35">
        <f>+Indexacion!U19</f>
        <v>7465.69</v>
      </c>
      <c r="U126" s="84">
        <f t="shared" ref="U126" si="19">+T126/S126-1</f>
        <v>0</v>
      </c>
    </row>
    <row r="127" spans="2:21" x14ac:dyDescent="0.2">
      <c r="J127" s="194">
        <v>44927</v>
      </c>
      <c r="K127" s="194" t="s">
        <v>129</v>
      </c>
      <c r="L127" s="194" t="s">
        <v>48</v>
      </c>
      <c r="M127" s="197">
        <v>220</v>
      </c>
      <c r="N127" s="195">
        <f>+Indexacion!N20</f>
        <v>7940</v>
      </c>
      <c r="O127" s="195">
        <f>+Indexacion!M20</f>
        <v>7790.16</v>
      </c>
      <c r="P127" s="198">
        <f t="shared" ref="P127:P128" si="20">+O127/N127-1</f>
        <v>-1.8871536523929477E-2</v>
      </c>
      <c r="Q127" s="199" t="s">
        <v>56</v>
      </c>
      <c r="R127" s="197">
        <v>220</v>
      </c>
      <c r="S127" s="200">
        <f>+Indexacion!V20</f>
        <v>7465.69</v>
      </c>
      <c r="T127" s="195">
        <f>+Indexacion!U20</f>
        <v>7318.06</v>
      </c>
      <c r="U127" s="201">
        <f t="shared" ref="U127:U128" si="21">+T127/S127-1</f>
        <v>-1.9774461570196356E-2</v>
      </c>
    </row>
    <row r="128" spans="2:21" x14ac:dyDescent="0.2">
      <c r="J128" s="38">
        <v>44958</v>
      </c>
      <c r="K128" s="38" t="s">
        <v>129</v>
      </c>
      <c r="L128" s="38" t="s">
        <v>48</v>
      </c>
      <c r="M128" s="77">
        <v>220</v>
      </c>
      <c r="N128" s="35">
        <f>+Indexacion!N21</f>
        <v>7940</v>
      </c>
      <c r="O128" s="35">
        <f>+Indexacion!M21</f>
        <v>7540.13</v>
      </c>
      <c r="P128" s="42">
        <f t="shared" si="20"/>
        <v>-5.0361460957178861E-2</v>
      </c>
      <c r="Q128" s="37" t="s">
        <v>56</v>
      </c>
      <c r="R128" s="77">
        <v>220</v>
      </c>
      <c r="S128" s="36">
        <f>+Indexacion!V21</f>
        <v>7465.69</v>
      </c>
      <c r="T128" s="35">
        <f>+Indexacion!U21</f>
        <v>7072.62</v>
      </c>
      <c r="U128" s="84">
        <f t="shared" si="21"/>
        <v>-5.2650190404369801E-2</v>
      </c>
    </row>
    <row r="129" spans="10:21" ht="13.5" thickBot="1" x14ac:dyDescent="0.25">
      <c r="J129" s="237">
        <v>44986</v>
      </c>
      <c r="K129" s="237" t="s">
        <v>129</v>
      </c>
      <c r="L129" s="237" t="s">
        <v>48</v>
      </c>
      <c r="M129" s="238">
        <v>220</v>
      </c>
      <c r="N129" s="239">
        <f>+Indexacion!N22</f>
        <v>7940</v>
      </c>
      <c r="O129" s="239">
        <f>+Indexacion!M22</f>
        <v>7260.14</v>
      </c>
      <c r="P129" s="240">
        <f t="shared" ref="P129:P130" si="22">+O129/N129-1</f>
        <v>-8.5624685138539047E-2</v>
      </c>
      <c r="Q129" s="241" t="s">
        <v>56</v>
      </c>
      <c r="R129" s="238">
        <v>220</v>
      </c>
      <c r="S129" s="242">
        <f>+Indexacion!V22</f>
        <v>7465.69</v>
      </c>
      <c r="T129" s="239">
        <f>+Indexacion!U22</f>
        <v>6797.72</v>
      </c>
      <c r="U129" s="243">
        <f t="shared" ref="U129:U130" si="23">+T129/S129-1</f>
        <v>-8.9471971110506754E-2</v>
      </c>
    </row>
    <row r="130" spans="10:21" x14ac:dyDescent="0.2">
      <c r="J130" s="120">
        <v>45017</v>
      </c>
      <c r="K130" s="120" t="s">
        <v>131</v>
      </c>
      <c r="L130" s="120" t="s">
        <v>48</v>
      </c>
      <c r="M130" s="121">
        <v>220</v>
      </c>
      <c r="N130" s="142">
        <f>+Indexacion!N23</f>
        <v>7790.34</v>
      </c>
      <c r="O130" s="142">
        <f>+Indexacion!M23</f>
        <v>7074.26</v>
      </c>
      <c r="P130" s="150">
        <f t="shared" si="22"/>
        <v>-9.1918966309557759E-2</v>
      </c>
      <c r="Q130" s="124" t="s">
        <v>56</v>
      </c>
      <c r="R130" s="121">
        <v>220</v>
      </c>
      <c r="S130" s="143">
        <f>+Indexacion!V23</f>
        <v>7318.15</v>
      </c>
      <c r="T130" s="142">
        <f>+Indexacion!U23</f>
        <v>6616.86</v>
      </c>
      <c r="U130" s="145">
        <f t="shared" si="23"/>
        <v>-9.5828863852203128E-2</v>
      </c>
    </row>
    <row r="131" spans="10:21" x14ac:dyDescent="0.2">
      <c r="J131" s="194">
        <v>45047</v>
      </c>
      <c r="K131" s="194" t="s">
        <v>131</v>
      </c>
      <c r="L131" s="194" t="s">
        <v>48</v>
      </c>
      <c r="M131" s="197">
        <v>220</v>
      </c>
      <c r="N131" s="195">
        <f>+Indexacion!N24</f>
        <v>7790.34</v>
      </c>
      <c r="O131" s="195">
        <f>+Indexacion!M24</f>
        <v>7163.51</v>
      </c>
      <c r="P131" s="198">
        <f t="shared" ref="P131:P132" si="24">+O131/N131-1</f>
        <v>-8.0462470187437241E-2</v>
      </c>
      <c r="Q131" s="199" t="s">
        <v>56</v>
      </c>
      <c r="R131" s="197">
        <v>220</v>
      </c>
      <c r="S131" s="200">
        <f>+Indexacion!V24</f>
        <v>7318.15</v>
      </c>
      <c r="T131" s="195">
        <f>+Indexacion!U24</f>
        <v>6700.39</v>
      </c>
      <c r="U131" s="201">
        <f t="shared" ref="U131:U132" si="25">+T131/S131-1</f>
        <v>-8.4414776958657511E-2</v>
      </c>
    </row>
    <row r="132" spans="10:21" x14ac:dyDescent="0.2">
      <c r="J132" s="38">
        <v>45078</v>
      </c>
      <c r="K132" s="38" t="s">
        <v>131</v>
      </c>
      <c r="L132" s="38" t="s">
        <v>48</v>
      </c>
      <c r="M132" s="77">
        <v>220</v>
      </c>
      <c r="N132" s="35">
        <f>+Indexacion!N25</f>
        <v>7790.34</v>
      </c>
      <c r="O132" s="35">
        <f>+Indexacion!M25</f>
        <v>7142.68</v>
      </c>
      <c r="P132" s="42">
        <f t="shared" si="24"/>
        <v>-8.3136294436443103E-2</v>
      </c>
      <c r="Q132" s="37" t="s">
        <v>56</v>
      </c>
      <c r="R132" s="77">
        <v>220</v>
      </c>
      <c r="S132" s="36">
        <f>+Indexacion!V25</f>
        <v>7318.15</v>
      </c>
      <c r="T132" s="35">
        <f>+Indexacion!U25</f>
        <v>6678.95</v>
      </c>
      <c r="U132" s="84">
        <f t="shared" si="25"/>
        <v>-8.7344479137486886E-2</v>
      </c>
    </row>
    <row r="133" spans="10:21" x14ac:dyDescent="0.2">
      <c r="J133" s="194">
        <v>45108</v>
      </c>
      <c r="K133" s="194" t="s">
        <v>131</v>
      </c>
      <c r="L133" s="194" t="s">
        <v>48</v>
      </c>
      <c r="M133" s="197">
        <v>220</v>
      </c>
      <c r="N133" s="195">
        <f>+Indexacion!N26</f>
        <v>7790.34</v>
      </c>
      <c r="O133" s="195">
        <f>+Indexacion!M26</f>
        <v>7110.53</v>
      </c>
      <c r="P133" s="198">
        <f t="shared" ref="P133:P134" si="26">+O133/N133-1</f>
        <v>-8.7263200322450718E-2</v>
      </c>
      <c r="Q133" s="199" t="s">
        <v>56</v>
      </c>
      <c r="R133" s="197">
        <v>220</v>
      </c>
      <c r="S133" s="200">
        <f>+Indexacion!V26</f>
        <v>7318.15</v>
      </c>
      <c r="T133" s="195">
        <f>+Indexacion!U26</f>
        <v>6646.6</v>
      </c>
      <c r="U133" s="201">
        <f t="shared" ref="U133:U134" si="27">+T133/S133-1</f>
        <v>-9.1764995251532033E-2</v>
      </c>
    </row>
    <row r="134" spans="10:21" x14ac:dyDescent="0.2">
      <c r="J134" s="38">
        <v>45139</v>
      </c>
      <c r="K134" s="38" t="s">
        <v>132</v>
      </c>
      <c r="L134" s="38" t="s">
        <v>48</v>
      </c>
      <c r="M134" s="77">
        <v>220</v>
      </c>
      <c r="N134" s="35">
        <f>+Indexacion!N27</f>
        <v>7127.88</v>
      </c>
      <c r="O134" s="35">
        <f>+Indexacion!M27</f>
        <v>7127.88</v>
      </c>
      <c r="P134" s="42">
        <f t="shared" si="26"/>
        <v>0</v>
      </c>
      <c r="Q134" s="37" t="s">
        <v>56</v>
      </c>
      <c r="R134" s="77">
        <v>220</v>
      </c>
      <c r="S134" s="36">
        <f>+Indexacion!V27</f>
        <v>6664.12</v>
      </c>
      <c r="T134" s="35">
        <f>+Indexacion!U27</f>
        <v>6664.12</v>
      </c>
      <c r="U134" s="84">
        <f t="shared" si="27"/>
        <v>0</v>
      </c>
    </row>
    <row r="135" spans="10:21" ht="13.5" thickBot="1" x14ac:dyDescent="0.25">
      <c r="J135" s="237">
        <v>45170</v>
      </c>
      <c r="K135" s="237" t="s">
        <v>132</v>
      </c>
      <c r="L135" s="237" t="s">
        <v>48</v>
      </c>
      <c r="M135" s="238">
        <v>220</v>
      </c>
      <c r="N135" s="239">
        <f>+Indexacion!N28</f>
        <v>7127.88</v>
      </c>
      <c r="O135" s="239">
        <f>+Indexacion!M28</f>
        <v>7217.79</v>
      </c>
      <c r="P135" s="240">
        <f t="shared" ref="P135:P136" si="28">+O135/N135-1</f>
        <v>1.2613848717991871E-2</v>
      </c>
      <c r="Q135" s="241" t="s">
        <v>56</v>
      </c>
      <c r="R135" s="238">
        <v>220</v>
      </c>
      <c r="S135" s="242">
        <f>+Indexacion!V28</f>
        <v>6664.12</v>
      </c>
      <c r="T135" s="239">
        <f>+Indexacion!U28</f>
        <v>6750.33</v>
      </c>
      <c r="U135" s="243">
        <f t="shared" ref="U135:U136" si="29">+T135/S135-1</f>
        <v>1.2936441720737379E-2</v>
      </c>
    </row>
    <row r="136" spans="10:21" x14ac:dyDescent="0.2">
      <c r="J136" s="120">
        <v>45200</v>
      </c>
      <c r="K136" s="120" t="s">
        <v>135</v>
      </c>
      <c r="L136" s="120" t="s">
        <v>48</v>
      </c>
      <c r="M136" s="121">
        <v>220</v>
      </c>
      <c r="N136" s="142">
        <f>+Indexacion!N29</f>
        <v>7110.69</v>
      </c>
      <c r="O136" s="142">
        <f>+Indexacion!M29</f>
        <v>7571.74</v>
      </c>
      <c r="P136" s="150">
        <f t="shared" si="28"/>
        <v>6.4838995934290544E-2</v>
      </c>
      <c r="Q136" s="124" t="s">
        <v>56</v>
      </c>
      <c r="R136" s="121">
        <v>220</v>
      </c>
      <c r="S136" s="143">
        <f>+Indexacion!V29</f>
        <v>6646.68</v>
      </c>
      <c r="T136" s="142">
        <f>+Indexacion!U29</f>
        <v>7093.25</v>
      </c>
      <c r="U136" s="145">
        <f t="shared" si="29"/>
        <v>6.7186926405363279E-2</v>
      </c>
    </row>
    <row r="137" spans="10:21" x14ac:dyDescent="0.2">
      <c r="J137" s="194">
        <v>45231</v>
      </c>
      <c r="K137" s="194" t="s">
        <v>135</v>
      </c>
      <c r="L137" s="194" t="s">
        <v>48</v>
      </c>
      <c r="M137" s="197">
        <v>220</v>
      </c>
      <c r="N137" s="195">
        <f>+Indexacion!N30</f>
        <v>7110.69</v>
      </c>
      <c r="O137" s="195">
        <f>+Indexacion!M30</f>
        <v>7757.96</v>
      </c>
      <c r="P137" s="198">
        <f t="shared" ref="P137" si="30">+O137/N137-1</f>
        <v>9.1027734298640528E-2</v>
      </c>
      <c r="Q137" s="199" t="s">
        <v>56</v>
      </c>
      <c r="R137" s="197">
        <v>220</v>
      </c>
      <c r="S137" s="200">
        <f>+Indexacion!V30</f>
        <v>6646.68</v>
      </c>
      <c r="T137" s="195">
        <f>+Indexacion!U30</f>
        <v>7272.51</v>
      </c>
      <c r="U137" s="201">
        <f t="shared" ref="U137" si="31">+T137/S137-1</f>
        <v>9.4156782032533526E-2</v>
      </c>
    </row>
    <row r="138" spans="10:21" x14ac:dyDescent="0.2">
      <c r="J138" s="38">
        <v>45261</v>
      </c>
      <c r="K138" s="38" t="s">
        <v>135</v>
      </c>
      <c r="L138" s="38" t="s">
        <v>48</v>
      </c>
      <c r="M138" s="77">
        <v>220</v>
      </c>
      <c r="N138" s="35">
        <f>+Indexacion!N31</f>
        <v>7110.69</v>
      </c>
      <c r="O138" s="35">
        <f>+Indexacion!M31</f>
        <v>8001.07</v>
      </c>
      <c r="P138" s="42">
        <f t="shared" ref="P138" si="32">+O138/N138-1</f>
        <v>0.12521710270030062</v>
      </c>
      <c r="Q138" s="37" t="s">
        <v>56</v>
      </c>
      <c r="R138" s="77">
        <v>220</v>
      </c>
      <c r="S138" s="36">
        <f>+Indexacion!V31</f>
        <v>6646.68</v>
      </c>
      <c r="T138" s="35">
        <f>+Indexacion!U31</f>
        <v>7507.33</v>
      </c>
      <c r="U138" s="84">
        <f t="shared" ref="U138" si="33">+T138/S138-1</f>
        <v>0.12948569812297261</v>
      </c>
    </row>
    <row r="139" spans="10:21" x14ac:dyDescent="0.2">
      <c r="J139" s="194">
        <v>45292</v>
      </c>
      <c r="K139" s="194" t="s">
        <v>135</v>
      </c>
      <c r="L139" s="194" t="s">
        <v>48</v>
      </c>
      <c r="M139" s="197">
        <v>220</v>
      </c>
      <c r="N139" s="195">
        <f>+Indexacion!N32</f>
        <v>7110.69</v>
      </c>
      <c r="O139" s="195">
        <f>+Indexacion!M32</f>
        <v>7793.3</v>
      </c>
      <c r="P139" s="198">
        <f t="shared" ref="P139" si="34">+O139/N139-1</f>
        <v>9.5997716114751164E-2</v>
      </c>
      <c r="Q139" s="199" t="s">
        <v>56</v>
      </c>
      <c r="R139" s="197">
        <v>220</v>
      </c>
      <c r="S139" s="200">
        <f>+Indexacion!V32</f>
        <v>6646.68</v>
      </c>
      <c r="T139" s="195">
        <f>+Indexacion!U32</f>
        <v>7303.18</v>
      </c>
      <c r="U139" s="201">
        <f t="shared" ref="U139" si="35">+T139/S139-1</f>
        <v>9.8771115805183829E-2</v>
      </c>
    </row>
    <row r="140" spans="10:21" x14ac:dyDescent="0.2">
      <c r="J140" s="38">
        <v>45323</v>
      </c>
      <c r="K140" s="38" t="s">
        <v>135</v>
      </c>
      <c r="L140" s="38" t="s">
        <v>48</v>
      </c>
      <c r="M140" s="77">
        <v>220</v>
      </c>
      <c r="N140" s="35">
        <f>+Indexacion!N33</f>
        <v>7110.69</v>
      </c>
      <c r="O140" s="35">
        <f>+Indexacion!M33</f>
        <v>7668.14</v>
      </c>
      <c r="P140" s="42">
        <f t="shared" ref="P140" si="36">+O140/N140-1</f>
        <v>7.8396048766012916E-2</v>
      </c>
      <c r="Q140" s="37" t="s">
        <v>56</v>
      </c>
      <c r="R140" s="77">
        <v>220</v>
      </c>
      <c r="S140" s="36">
        <f>+Indexacion!V33</f>
        <v>6646.68</v>
      </c>
      <c r="T140" s="35">
        <f>+Indexacion!U33</f>
        <v>7183.23</v>
      </c>
      <c r="U140" s="84">
        <f t="shared" ref="U140" si="37">+T140/S140-1</f>
        <v>8.0724512087237521E-2</v>
      </c>
    </row>
    <row r="141" spans="10:21" ht="13.5" thickBot="1" x14ac:dyDescent="0.25">
      <c r="J141" s="237">
        <v>45352</v>
      </c>
      <c r="K141" s="237" t="s">
        <v>137</v>
      </c>
      <c r="L141" s="237" t="s">
        <v>48</v>
      </c>
      <c r="M141" s="238">
        <v>220</v>
      </c>
      <c r="N141" s="239">
        <f>+Indexacion!N34</f>
        <v>7962.71</v>
      </c>
      <c r="O141" s="239">
        <f>+Indexacion!M34</f>
        <v>7962.71</v>
      </c>
      <c r="P141" s="240">
        <f t="shared" ref="P141" si="38">+O141/N141-1</f>
        <v>0</v>
      </c>
      <c r="Q141" s="241" t="s">
        <v>56</v>
      </c>
      <c r="R141" s="238">
        <v>220</v>
      </c>
      <c r="S141" s="242">
        <f>+Indexacion!V34</f>
        <v>7467.85</v>
      </c>
      <c r="T141" s="239">
        <f>+Indexacion!U34</f>
        <v>7467.85</v>
      </c>
      <c r="U141" s="243">
        <f t="shared" ref="U141" si="39">+T141/S141-1</f>
        <v>0</v>
      </c>
    </row>
    <row r="142" spans="10:21" x14ac:dyDescent="0.2">
      <c r="J142" s="120">
        <v>45383</v>
      </c>
      <c r="K142" s="120" t="s">
        <v>138</v>
      </c>
      <c r="L142" s="120" t="s">
        <v>48</v>
      </c>
      <c r="M142" s="121">
        <v>220</v>
      </c>
      <c r="N142" s="142">
        <f>+Indexacion!N35</f>
        <v>7793.57</v>
      </c>
      <c r="O142" s="142">
        <f>+Indexacion!M35</f>
        <v>8312.27</v>
      </c>
      <c r="P142" s="150">
        <f t="shared" ref="P142" si="40">+O142/N142-1</f>
        <v>6.6554865100332705E-2</v>
      </c>
      <c r="Q142" s="124" t="s">
        <v>56</v>
      </c>
      <c r="R142" s="121">
        <v>220</v>
      </c>
      <c r="S142" s="143">
        <f>+Indexacion!V35</f>
        <v>7303.36</v>
      </c>
      <c r="T142" s="142">
        <f>+Indexacion!U35</f>
        <v>7806.47</v>
      </c>
      <c r="U142" s="145">
        <f t="shared" ref="U142" si="41">+T142/S142-1</f>
        <v>6.8887470972264886E-2</v>
      </c>
    </row>
    <row r="143" spans="10:21" x14ac:dyDescent="0.2">
      <c r="J143" s="194">
        <v>45413</v>
      </c>
      <c r="K143" s="194" t="s">
        <v>138</v>
      </c>
      <c r="L143" s="194" t="s">
        <v>48</v>
      </c>
      <c r="M143" s="197">
        <v>220</v>
      </c>
      <c r="N143" s="195">
        <f>+Indexacion!N36</f>
        <v>7793.57</v>
      </c>
      <c r="O143" s="195">
        <f>+Indexacion!M36</f>
        <v>8353.14</v>
      </c>
      <c r="P143" s="198">
        <f t="shared" ref="P143" si="42">+O143/N143-1</f>
        <v>7.1798931683426215E-2</v>
      </c>
      <c r="Q143" s="199" t="s">
        <v>56</v>
      </c>
      <c r="R143" s="197">
        <v>220</v>
      </c>
      <c r="S143" s="200">
        <f>+Indexacion!V36</f>
        <v>7303.36</v>
      </c>
      <c r="T143" s="195">
        <f>+Indexacion!U36</f>
        <v>7844.4</v>
      </c>
      <c r="U143" s="201">
        <f t="shared" ref="U143" si="43">+T143/S143-1</f>
        <v>7.408097095035715E-2</v>
      </c>
    </row>
    <row r="144" spans="10:21" x14ac:dyDescent="0.2">
      <c r="J144" s="38">
        <v>45444</v>
      </c>
      <c r="K144" s="38" t="s">
        <v>138</v>
      </c>
      <c r="L144" s="38" t="s">
        <v>48</v>
      </c>
      <c r="M144" s="77">
        <v>220</v>
      </c>
      <c r="N144" s="35">
        <f>+Indexacion!N37</f>
        <v>7793.57</v>
      </c>
      <c r="O144" s="35">
        <f>+Indexacion!M37</f>
        <v>8333.5400000000009</v>
      </c>
      <c r="P144" s="42">
        <f t="shared" ref="P144" si="44">+O144/N144-1</f>
        <v>6.9284037995424486E-2</v>
      </c>
      <c r="Q144" s="37" t="s">
        <v>56</v>
      </c>
      <c r="R144" s="77">
        <v>220</v>
      </c>
      <c r="S144" s="36">
        <f>+Indexacion!V37</f>
        <v>7303.36</v>
      </c>
      <c r="T144" s="35">
        <f>+Indexacion!U37</f>
        <v>7823.32</v>
      </c>
      <c r="U144" s="84">
        <f t="shared" ref="U144" si="45">+T144/S144-1</f>
        <v>7.1194628225912382E-2</v>
      </c>
    </row>
    <row r="145" spans="10:21" x14ac:dyDescent="0.2">
      <c r="J145" s="194">
        <v>45474</v>
      </c>
      <c r="K145" s="194" t="s">
        <v>138</v>
      </c>
      <c r="L145" s="194" t="s">
        <v>48</v>
      </c>
      <c r="M145" s="197">
        <v>220</v>
      </c>
      <c r="N145" s="195">
        <f>+Indexacion!N38</f>
        <v>7793.57</v>
      </c>
      <c r="O145" s="195">
        <f>+Indexacion!M38</f>
        <v>8095.79</v>
      </c>
      <c r="P145" s="198">
        <f t="shared" ref="P145" si="46">+O145/N145-1</f>
        <v>3.8778120938158134E-2</v>
      </c>
      <c r="Q145" s="199" t="s">
        <v>56</v>
      </c>
      <c r="R145" s="197">
        <v>220</v>
      </c>
      <c r="S145" s="200">
        <f>+Indexacion!V38</f>
        <v>7303.36</v>
      </c>
      <c r="T145" s="195">
        <f>+Indexacion!U38</f>
        <v>7590.78</v>
      </c>
      <c r="U145" s="201">
        <f t="shared" ref="U145" si="47">+T145/S145-1</f>
        <v>3.9354488892783701E-2</v>
      </c>
    </row>
    <row r="146" spans="10:21" x14ac:dyDescent="0.2">
      <c r="J146" s="38">
        <v>45505</v>
      </c>
      <c r="K146" s="38" t="s">
        <v>138</v>
      </c>
      <c r="L146" s="38" t="s">
        <v>48</v>
      </c>
      <c r="M146" s="77">
        <v>220</v>
      </c>
      <c r="N146" s="35">
        <f>+Indexacion!N39</f>
        <v>7793.57</v>
      </c>
      <c r="O146" s="35">
        <f>+Indexacion!M39</f>
        <v>8159.51</v>
      </c>
      <c r="P146" s="42">
        <f t="shared" ref="P146" si="48">+O146/N146-1</f>
        <v>4.695409164221287E-2</v>
      </c>
      <c r="Q146" s="37" t="s">
        <v>56</v>
      </c>
      <c r="R146" s="77">
        <v>220</v>
      </c>
      <c r="S146" s="36">
        <f>+Indexacion!V39</f>
        <v>7303.36</v>
      </c>
      <c r="T146" s="35">
        <f>+Indexacion!U39</f>
        <v>7653.13</v>
      </c>
      <c r="U146" s="84">
        <f t="shared" ref="U146" si="49">+T146/S146-1</f>
        <v>4.7891655347675588E-2</v>
      </c>
    </row>
    <row r="147" spans="10:21" ht="13.5" thickBot="1" x14ac:dyDescent="0.25">
      <c r="J147" s="237">
        <v>45536</v>
      </c>
      <c r="K147" s="237" t="s">
        <v>138</v>
      </c>
      <c r="L147" s="237" t="s">
        <v>48</v>
      </c>
      <c r="M147" s="238">
        <v>220</v>
      </c>
      <c r="N147" s="239">
        <f>+Indexacion!N40</f>
        <v>7793.57</v>
      </c>
      <c r="O147" s="239">
        <f>+Indexacion!M40</f>
        <v>8258.8700000000008</v>
      </c>
      <c r="P147" s="240">
        <f t="shared" ref="P147" si="50">+O147/N147-1</f>
        <v>5.9703062909552518E-2</v>
      </c>
      <c r="Q147" s="241" t="s">
        <v>56</v>
      </c>
      <c r="R147" s="238">
        <v>220</v>
      </c>
      <c r="S147" s="242">
        <f>+Indexacion!V40</f>
        <v>7303.36</v>
      </c>
      <c r="T147" s="239">
        <f>+Indexacion!U40</f>
        <v>7748.28</v>
      </c>
      <c r="U147" s="243">
        <f t="shared" ref="U147" si="51">+T147/S147-1</f>
        <v>6.0919905358629567E-2</v>
      </c>
    </row>
    <row r="148" spans="10:21" x14ac:dyDescent="0.2">
      <c r="J148" s="120">
        <v>45566</v>
      </c>
      <c r="K148" s="120" t="s">
        <v>140</v>
      </c>
      <c r="L148" s="120" t="s">
        <v>48</v>
      </c>
      <c r="M148" s="121">
        <v>220</v>
      </c>
      <c r="N148" s="142">
        <f>+Indexacion!N41</f>
        <v>8095.98</v>
      </c>
      <c r="O148" s="142">
        <f>+Indexacion!M41</f>
        <v>8231.66</v>
      </c>
      <c r="P148" s="150">
        <f t="shared" ref="P148" si="52">+O148/N148-1</f>
        <v>1.675893468116274E-2</v>
      </c>
      <c r="Q148" s="124" t="s">
        <v>56</v>
      </c>
      <c r="R148" s="121">
        <v>220</v>
      </c>
      <c r="S148" s="143">
        <f>+Indexacion!V41</f>
        <v>7590.87</v>
      </c>
      <c r="T148" s="142">
        <f>+Indexacion!U41</f>
        <v>7720.96</v>
      </c>
      <c r="U148" s="145">
        <f t="shared" ref="U148" si="53">+T148/S148-1</f>
        <v>1.7137693044407376E-2</v>
      </c>
    </row>
    <row r="149" spans="10:21" x14ac:dyDescent="0.2">
      <c r="J149" s="194">
        <v>45597</v>
      </c>
      <c r="K149" s="194" t="s">
        <v>140</v>
      </c>
      <c r="L149" s="194" t="s">
        <v>48</v>
      </c>
      <c r="M149" s="197">
        <v>220</v>
      </c>
      <c r="N149" s="195">
        <f>+Indexacion!N42</f>
        <v>8095.98</v>
      </c>
      <c r="O149" s="195">
        <f>+Indexacion!M42</f>
        <v>8244.94</v>
      </c>
      <c r="P149" s="198">
        <f t="shared" ref="P149" si="54">+O149/N149-1</f>
        <v>1.8399254938870957E-2</v>
      </c>
      <c r="Q149" s="199" t="s">
        <v>56</v>
      </c>
      <c r="R149" s="197">
        <v>220</v>
      </c>
      <c r="S149" s="200">
        <f>+Indexacion!V42</f>
        <v>7590.87</v>
      </c>
      <c r="T149" s="195">
        <f>+Indexacion!U42</f>
        <v>7733.67</v>
      </c>
      <c r="U149" s="201">
        <f t="shared" ref="U149" si="55">+T149/S149-1</f>
        <v>1.8812072924447421E-2</v>
      </c>
    </row>
    <row r="150" spans="10:21" x14ac:dyDescent="0.2">
      <c r="J150" s="38">
        <v>45627</v>
      </c>
      <c r="K150" s="38" t="s">
        <v>140</v>
      </c>
      <c r="L150" s="38" t="s">
        <v>48</v>
      </c>
      <c r="M150" s="77">
        <v>220</v>
      </c>
      <c r="N150" s="35">
        <f>+Indexacion!N43</f>
        <v>8095.98</v>
      </c>
      <c r="O150" s="35">
        <f>+Indexacion!M43</f>
        <v>8324.5400000000009</v>
      </c>
      <c r="P150" s="42">
        <f t="shared" ref="P150" si="56">+O150/N150-1</f>
        <v>2.8231295037784321E-2</v>
      </c>
      <c r="Q150" s="37" t="s">
        <v>56</v>
      </c>
      <c r="R150" s="77">
        <v>220</v>
      </c>
      <c r="S150" s="36">
        <f>+Indexacion!V43</f>
        <v>7590.87</v>
      </c>
      <c r="T150" s="35">
        <f>+Indexacion!U43</f>
        <v>7807.96</v>
      </c>
      <c r="U150" s="84">
        <f t="shared" ref="U150" si="57">+T150/S150-1</f>
        <v>2.8598829910142065E-2</v>
      </c>
    </row>
    <row r="151" spans="10:21" x14ac:dyDescent="0.2">
      <c r="J151" s="194">
        <v>45658</v>
      </c>
      <c r="K151" s="194" t="s">
        <v>140</v>
      </c>
      <c r="L151" s="194" t="s">
        <v>48</v>
      </c>
      <c r="M151" s="197">
        <v>220</v>
      </c>
      <c r="N151" s="195">
        <f>+Indexacion!N44</f>
        <v>8095.98</v>
      </c>
      <c r="O151" s="195">
        <f>+Indexacion!M44</f>
        <v>8568.44</v>
      </c>
      <c r="P151" s="198">
        <f t="shared" ref="P151" si="58">+O151/N151-1</f>
        <v>5.8357357602168092E-2</v>
      </c>
      <c r="Q151" s="199" t="s">
        <v>56</v>
      </c>
      <c r="R151" s="197">
        <v>220</v>
      </c>
      <c r="S151" s="200">
        <f>+Indexacion!V44</f>
        <v>7590.87</v>
      </c>
      <c r="T151" s="195">
        <f>+Indexacion!U44</f>
        <v>8044.46</v>
      </c>
      <c r="U151" s="201">
        <f t="shared" ref="U151" si="59">+T151/S151-1</f>
        <v>5.9754678976191133E-2</v>
      </c>
    </row>
    <row r="152" spans="10:21" x14ac:dyDescent="0.2">
      <c r="J152" s="38">
        <v>45689</v>
      </c>
      <c r="K152" s="38" t="s">
        <v>140</v>
      </c>
      <c r="L152" s="38" t="s">
        <v>48</v>
      </c>
      <c r="M152" s="77">
        <v>220</v>
      </c>
      <c r="N152" s="35">
        <f>+Indexacion!N45</f>
        <v>8095.98</v>
      </c>
      <c r="O152" s="35">
        <f>+Indexacion!M45</f>
        <v>8652.59</v>
      </c>
      <c r="P152" s="42">
        <f t="shared" ref="P152" si="60">+O152/N152-1</f>
        <v>6.8751405018293132E-2</v>
      </c>
      <c r="Q152" s="37" t="s">
        <v>56</v>
      </c>
      <c r="R152" s="77">
        <v>220</v>
      </c>
      <c r="S152" s="36">
        <f>+Indexacion!V45</f>
        <v>7590.87</v>
      </c>
      <c r="T152" s="35">
        <f>+Indexacion!U45</f>
        <v>8126.96</v>
      </c>
      <c r="U152" s="84">
        <f t="shared" ref="U152" si="61">+T152/S152-1</f>
        <v>7.0622998417836147E-2</v>
      </c>
    </row>
    <row r="153" spans="10:21" ht="13.5" thickBot="1" x14ac:dyDescent="0.25">
      <c r="J153" s="237">
        <v>45717</v>
      </c>
      <c r="K153" s="237" t="s">
        <v>140</v>
      </c>
      <c r="L153" s="237" t="s">
        <v>48</v>
      </c>
      <c r="M153" s="238">
        <v>220</v>
      </c>
      <c r="N153" s="239">
        <f>+Indexacion!N46</f>
        <v>8095.98</v>
      </c>
      <c r="O153" s="239">
        <f>+Indexacion!M46</f>
        <v>8812.39</v>
      </c>
      <c r="P153" s="240">
        <f t="shared" ref="P153" si="62">+O153/N153-1</f>
        <v>8.8489596071136489E-2</v>
      </c>
      <c r="Q153" s="241" t="s">
        <v>56</v>
      </c>
      <c r="R153" s="238">
        <v>220</v>
      </c>
      <c r="S153" s="242">
        <f>+Indexacion!V46</f>
        <v>7590.87</v>
      </c>
      <c r="T153" s="239">
        <f>+Indexacion!U46</f>
        <v>8278.69</v>
      </c>
      <c r="U153" s="243">
        <f t="shared" ref="U153" si="63">+T153/S153-1</f>
        <v>9.0611484586088364E-2</v>
      </c>
    </row>
    <row r="154" spans="10:21" x14ac:dyDescent="0.2">
      <c r="J154" s="116">
        <v>45748</v>
      </c>
      <c r="K154" s="116" t="s">
        <v>141</v>
      </c>
      <c r="L154" s="116" t="s">
        <v>48</v>
      </c>
      <c r="M154" s="139">
        <v>220</v>
      </c>
      <c r="N154" s="113">
        <f>+Indexacion!N47</f>
        <v>8568.64</v>
      </c>
      <c r="O154" s="113">
        <f>+Indexacion!M47</f>
        <v>8521.57</v>
      </c>
      <c r="P154" s="140">
        <f t="shared" ref="P154" si="64">+O154/N154-1</f>
        <v>-5.4932871494192126E-3</v>
      </c>
      <c r="Q154" s="115" t="s">
        <v>56</v>
      </c>
      <c r="R154" s="139">
        <v>220</v>
      </c>
      <c r="S154" s="114">
        <f>+Indexacion!V47</f>
        <v>8044.56</v>
      </c>
      <c r="T154" s="113">
        <f>+Indexacion!U47</f>
        <v>7994.57</v>
      </c>
      <c r="U154" s="137">
        <f t="shared" ref="U154" si="65">+T154/S154-1</f>
        <v>-6.2141372554870289E-3</v>
      </c>
    </row>
    <row r="155" spans="10:21" x14ac:dyDescent="0.2">
      <c r="J155" s="194">
        <v>45778</v>
      </c>
      <c r="K155" s="194" t="s">
        <v>141</v>
      </c>
      <c r="L155" s="194" t="s">
        <v>48</v>
      </c>
      <c r="M155" s="197">
        <v>220</v>
      </c>
      <c r="N155" s="195">
        <f>+Indexacion!N48</f>
        <v>8568.64</v>
      </c>
      <c r="O155" s="195">
        <f>+Indexacion!M48</f>
        <v>8413.2800000000007</v>
      </c>
      <c r="P155" s="198">
        <f t="shared" ref="P155" si="66">+O155/N155-1</f>
        <v>-1.8131232027486122E-2</v>
      </c>
      <c r="Q155" s="199" t="s">
        <v>56</v>
      </c>
      <c r="R155" s="197">
        <v>220</v>
      </c>
      <c r="S155" s="200">
        <f>+Indexacion!V48</f>
        <v>8044.56</v>
      </c>
      <c r="T155" s="195">
        <f>+Indexacion!U48</f>
        <v>7887.6</v>
      </c>
      <c r="U155" s="201">
        <f t="shared" ref="U155" si="67">+T155/S155-1</f>
        <v>-1.9511321936811932E-2</v>
      </c>
    </row>
    <row r="156" spans="10:21" x14ac:dyDescent="0.2">
      <c r="J156" s="38">
        <v>45809</v>
      </c>
      <c r="K156" s="38" t="s">
        <v>141</v>
      </c>
      <c r="L156" s="38" t="s">
        <v>48</v>
      </c>
      <c r="M156" s="77">
        <v>220</v>
      </c>
      <c r="N156" s="35">
        <f>+Indexacion!N49</f>
        <v>8568.64</v>
      </c>
      <c r="O156" s="35">
        <f>+Indexacion!M49</f>
        <v>8614.5400000000009</v>
      </c>
      <c r="P156" s="42">
        <f t="shared" ref="P156" si="68">+O156/N156-1</f>
        <v>5.3567427269674006E-3</v>
      </c>
      <c r="Q156" s="37" t="s">
        <v>56</v>
      </c>
      <c r="R156" s="77">
        <v>220</v>
      </c>
      <c r="S156" s="36">
        <f>+Indexacion!V49</f>
        <v>8044.56</v>
      </c>
      <c r="T156" s="35">
        <f>+Indexacion!U49</f>
        <v>8082.68</v>
      </c>
      <c r="U156" s="84">
        <f t="shared" ref="U156" si="69">+T156/S156-1</f>
        <v>4.7386059647762657E-3</v>
      </c>
    </row>
    <row r="157" spans="10:21" x14ac:dyDescent="0.2">
      <c r="J157" s="194">
        <v>45839</v>
      </c>
      <c r="K157" s="194" t="s">
        <v>141</v>
      </c>
      <c r="L157" s="194" t="s">
        <v>48</v>
      </c>
      <c r="M157" s="197">
        <v>220</v>
      </c>
      <c r="N157" s="195">
        <f>+Indexacion!N50</f>
        <v>8568.64</v>
      </c>
      <c r="O157" s="195">
        <f>+Indexacion!M50</f>
        <v>8523.86</v>
      </c>
      <c r="P157" s="198">
        <f t="shared" ref="P157" si="70">+O157/N157-1</f>
        <v>-5.2260335362436239E-3</v>
      </c>
      <c r="Q157" s="199" t="s">
        <v>56</v>
      </c>
      <c r="R157" s="197">
        <v>220</v>
      </c>
      <c r="S157" s="200">
        <f>+Indexacion!V50</f>
        <v>8044.56</v>
      </c>
      <c r="T157" s="195">
        <f>+Indexacion!U50</f>
        <v>7993.69</v>
      </c>
      <c r="U157" s="201">
        <f t="shared" ref="U157" si="71">+T157/S157-1</f>
        <v>-6.3235279493223384E-3</v>
      </c>
    </row>
    <row r="158" spans="10:21" x14ac:dyDescent="0.2">
      <c r="J158" s="38">
        <v>45870</v>
      </c>
      <c r="K158" s="38" t="s">
        <v>141</v>
      </c>
      <c r="L158" s="38" t="s">
        <v>48</v>
      </c>
      <c r="M158" s="77">
        <v>220</v>
      </c>
      <c r="N158" s="35">
        <f>+Indexacion!N51</f>
        <v>8568.64</v>
      </c>
      <c r="O158" s="35">
        <f>+Indexacion!M51</f>
        <v>8542.73</v>
      </c>
      <c r="P158" s="42">
        <f t="shared" ref="P158" si="72">+O158/N158-1</f>
        <v>-3.0238170818239762E-3</v>
      </c>
      <c r="Q158" s="37" t="s">
        <v>56</v>
      </c>
      <c r="R158" s="77">
        <v>220</v>
      </c>
      <c r="S158" s="36">
        <f>+Indexacion!V51</f>
        <v>8044.56</v>
      </c>
      <c r="T158" s="35">
        <f>+Indexacion!U51</f>
        <v>8013.58</v>
      </c>
      <c r="U158" s="84">
        <f t="shared" ref="U158:U164" si="73">+T158/S158-1</f>
        <v>-3.8510496534304162E-3</v>
      </c>
    </row>
    <row r="159" spans="10:21" x14ac:dyDescent="0.2">
      <c r="J159" s="194">
        <v>45901</v>
      </c>
      <c r="K159" s="194" t="s">
        <v>141</v>
      </c>
      <c r="L159" s="194" t="s">
        <v>48</v>
      </c>
      <c r="M159" s="197">
        <v>220</v>
      </c>
      <c r="N159" s="195">
        <f>+Indexacion!N52</f>
        <v>8568.64</v>
      </c>
      <c r="O159" s="195">
        <f>+Indexacion!M52</f>
        <v>8694.2199999999993</v>
      </c>
      <c r="P159" s="198">
        <f t="shared" ref="P159:P160" si="74">+O159/N159-1</f>
        <v>1.4655768009859127E-2</v>
      </c>
      <c r="Q159" s="199" t="s">
        <v>56</v>
      </c>
      <c r="R159" s="197">
        <v>220</v>
      </c>
      <c r="S159" s="200">
        <f>+Indexacion!V52</f>
        <v>8044.56</v>
      </c>
      <c r="T159" s="195">
        <f>+Indexacion!U52</f>
        <v>8158.4</v>
      </c>
      <c r="U159" s="201">
        <f t="shared" si="73"/>
        <v>1.4151177938880322E-2</v>
      </c>
    </row>
    <row r="160" spans="10:21" x14ac:dyDescent="0.2">
      <c r="J160" s="38">
        <v>45931</v>
      </c>
      <c r="K160" s="38" t="s">
        <v>144</v>
      </c>
      <c r="L160" s="38" t="s">
        <v>48</v>
      </c>
      <c r="M160" s="77">
        <v>220</v>
      </c>
      <c r="N160" s="35">
        <f>+Indexacion!N53</f>
        <v>8524.0400000000009</v>
      </c>
      <c r="O160" s="35">
        <f>+Indexacion!M53</f>
        <v>8811.43</v>
      </c>
      <c r="P160" s="42">
        <f t="shared" si="74"/>
        <v>3.3715233621615992E-2</v>
      </c>
      <c r="Q160" s="37" t="s">
        <v>56</v>
      </c>
      <c r="R160" s="77">
        <v>220</v>
      </c>
      <c r="S160" s="36">
        <f>+Indexacion!V53</f>
        <v>7993.88</v>
      </c>
      <c r="T160" s="35">
        <f>+Indexacion!U53</f>
        <v>8271.85</v>
      </c>
      <c r="U160" s="84">
        <f t="shared" si="73"/>
        <v>3.4772851231192003E-2</v>
      </c>
    </row>
    <row r="161" spans="10:22" x14ac:dyDescent="0.2">
      <c r="J161" s="194">
        <v>45962</v>
      </c>
      <c r="K161" s="194" t="s">
        <v>144</v>
      </c>
      <c r="L161" s="194" t="s">
        <v>48</v>
      </c>
      <c r="M161" s="197">
        <v>220</v>
      </c>
      <c r="N161" s="195">
        <f>+Indexacion!N54</f>
        <v>8524.0400000000009</v>
      </c>
      <c r="O161" s="195">
        <f>+Indexacion!M54</f>
        <v>8792.09</v>
      </c>
      <c r="P161" s="198">
        <f t="shared" ref="P161" si="75">+O161/N161-1</f>
        <v>3.1446356422541344E-2</v>
      </c>
      <c r="Q161" s="199" t="s">
        <v>56</v>
      </c>
      <c r="R161" s="197">
        <v>220</v>
      </c>
      <c r="S161" s="200">
        <f>+Indexacion!V54</f>
        <v>7993.88</v>
      </c>
      <c r="T161" s="195">
        <f>+Indexacion!U54</f>
        <v>8251.69</v>
      </c>
      <c r="U161" s="201">
        <f t="shared" si="73"/>
        <v>3.2250921955295775E-2</v>
      </c>
    </row>
    <row r="162" spans="10:22" x14ac:dyDescent="0.2">
      <c r="J162" s="38">
        <v>45992</v>
      </c>
      <c r="K162" s="38" t="s">
        <v>144</v>
      </c>
      <c r="L162" s="38" t="s">
        <v>48</v>
      </c>
      <c r="M162" s="77">
        <v>220</v>
      </c>
      <c r="N162" s="35">
        <f>+Indexacion!N55</f>
        <v>8524.0400000000009</v>
      </c>
      <c r="O162" s="35">
        <f>+Indexacion!M55</f>
        <v>8770.99</v>
      </c>
      <c r="P162" s="42">
        <f t="shared" ref="P162:P164" si="76">+O162/N162-1</f>
        <v>2.8971004359435115E-2</v>
      </c>
      <c r="Q162" s="37" t="s">
        <v>56</v>
      </c>
      <c r="R162" s="77">
        <v>220</v>
      </c>
      <c r="S162" s="36">
        <f>+Indexacion!V55</f>
        <v>7993.88</v>
      </c>
      <c r="T162" s="35">
        <f>+Indexacion!U55</f>
        <v>8230.9500000000007</v>
      </c>
      <c r="U162" s="84">
        <f t="shared" si="73"/>
        <v>2.9656437174438555E-2</v>
      </c>
    </row>
    <row r="163" spans="10:22" x14ac:dyDescent="0.2">
      <c r="J163" s="194">
        <v>46023</v>
      </c>
      <c r="K163" s="194" t="s">
        <v>144</v>
      </c>
      <c r="L163" s="194" t="s">
        <v>48</v>
      </c>
      <c r="M163" s="197">
        <v>220</v>
      </c>
      <c r="N163" s="195">
        <f>+Indexacion!N56</f>
        <v>8524.0400000000009</v>
      </c>
      <c r="O163" s="195">
        <f>+Indexacion!M56</f>
        <v>8639.2199999999993</v>
      </c>
      <c r="P163" s="198">
        <f t="shared" si="76"/>
        <v>1.3512372067704836E-2</v>
      </c>
      <c r="Q163" s="199" t="s">
        <v>56</v>
      </c>
      <c r="R163" s="197">
        <v>220</v>
      </c>
      <c r="S163" s="200">
        <f>+Indexacion!V56</f>
        <v>7993.88</v>
      </c>
      <c r="T163" s="195">
        <f>+Indexacion!U56</f>
        <v>8102.6</v>
      </c>
      <c r="U163" s="201">
        <f t="shared" si="73"/>
        <v>1.3600404309296543E-2</v>
      </c>
    </row>
    <row r="164" spans="10:22" x14ac:dyDescent="0.2">
      <c r="J164" s="38">
        <v>46054</v>
      </c>
      <c r="K164" s="38" t="s">
        <v>144</v>
      </c>
      <c r="L164" s="38" t="s">
        <v>48</v>
      </c>
      <c r="M164" s="77">
        <v>220</v>
      </c>
      <c r="N164" s="35">
        <f>+Indexacion!N57</f>
        <v>8524.0400000000009</v>
      </c>
      <c r="O164" s="35">
        <f>+Indexacion!M57</f>
        <v>8526.7900000000009</v>
      </c>
      <c r="P164" s="42">
        <f t="shared" si="76"/>
        <v>3.2261697504942788E-4</v>
      </c>
      <c r="Q164" s="37" t="s">
        <v>56</v>
      </c>
      <c r="R164" s="77">
        <v>220</v>
      </c>
      <c r="S164" s="36">
        <f>+Indexacion!V57</f>
        <v>7993.88</v>
      </c>
      <c r="T164" s="35">
        <f>+Indexacion!U57</f>
        <v>7994.05</v>
      </c>
      <c r="U164" s="84">
        <f t="shared" si="73"/>
        <v>2.1266268695585566E-5</v>
      </c>
    </row>
    <row r="165" spans="10:22" x14ac:dyDescent="0.2">
      <c r="J165" s="194">
        <v>46082</v>
      </c>
      <c r="K165" s="194" t="s">
        <v>144</v>
      </c>
      <c r="L165" s="194" t="s">
        <v>48</v>
      </c>
      <c r="M165" s="197">
        <v>220</v>
      </c>
      <c r="N165" s="195">
        <f>+Indexacion!N58</f>
        <v>8524.0400000000009</v>
      </c>
      <c r="O165" s="195">
        <f>+Indexacion!M58</f>
        <v>8334.6</v>
      </c>
      <c r="P165" s="198">
        <f t="shared" ref="P165" si="77">+O165/N165-1</f>
        <v>-2.2224203546675092E-2</v>
      </c>
      <c r="Q165" s="199" t="s">
        <v>56</v>
      </c>
      <c r="R165" s="197">
        <v>220</v>
      </c>
      <c r="S165" s="200">
        <f>+Indexacion!V58</f>
        <v>7993.88</v>
      </c>
      <c r="T165" s="195">
        <f>+Indexacion!U58</f>
        <v>7805.9</v>
      </c>
      <c r="U165" s="201">
        <f t="shared" ref="U165" si="78">+T165/S165-1</f>
        <v>-2.3515489349352325E-2</v>
      </c>
    </row>
    <row r="166" spans="10:22" x14ac:dyDescent="0.2">
      <c r="J166" s="38">
        <v>46113</v>
      </c>
      <c r="K166" s="38" t="s">
        <v>144</v>
      </c>
      <c r="L166" s="38" t="s">
        <v>48</v>
      </c>
      <c r="M166" s="77">
        <v>220</v>
      </c>
      <c r="N166" s="35">
        <f>+Indexacion!N59</f>
        <v>8524.0400000000009</v>
      </c>
      <c r="O166" s="35">
        <f>+Indexacion!M59</f>
        <v>8271.86</v>
      </c>
      <c r="P166" s="42">
        <f t="shared" ref="P166:P168" si="79">+O166/N166-1</f>
        <v>-2.9584563188347346E-2</v>
      </c>
      <c r="Q166" s="37" t="s">
        <v>56</v>
      </c>
      <c r="R166" s="77">
        <v>220</v>
      </c>
      <c r="S166" s="36">
        <f>+Indexacion!V59</f>
        <v>7993.88</v>
      </c>
      <c r="T166" s="35">
        <f>+Indexacion!U59</f>
        <v>7744.3</v>
      </c>
      <c r="U166" s="84">
        <f t="shared" ref="U166:U168" si="80">+T166/S166-1</f>
        <v>-3.1221384359034654E-2</v>
      </c>
    </row>
    <row r="167" spans="10:22" x14ac:dyDescent="0.2">
      <c r="N167" s="1"/>
      <c r="O167" s="1"/>
      <c r="P167" s="1"/>
      <c r="Q167" s="1"/>
      <c r="R167" s="1"/>
      <c r="S167" s="1"/>
      <c r="T167" s="1"/>
      <c r="U167" s="1"/>
      <c r="V167" s="1"/>
    </row>
    <row r="168" spans="10:22" x14ac:dyDescent="0.2">
      <c r="J168" s="194">
        <v>46143</v>
      </c>
      <c r="K168" s="2" t="s">
        <v>145</v>
      </c>
      <c r="L168" s="194" t="s">
        <v>48</v>
      </c>
      <c r="M168" s="197">
        <v>220</v>
      </c>
      <c r="N168" s="195">
        <f>+Indexacion!N61</f>
        <v>8600.9500000000007</v>
      </c>
      <c r="O168" s="195">
        <f>+Indexacion!M61</f>
        <v>8569.98</v>
      </c>
      <c r="P168" s="198">
        <f t="shared" si="79"/>
        <v>-3.6007650317698703E-3</v>
      </c>
      <c r="Q168" s="199" t="s">
        <v>56</v>
      </c>
      <c r="R168" s="197">
        <v>220</v>
      </c>
      <c r="S168" s="200">
        <f>+Indexacion!V61</f>
        <v>8452.18</v>
      </c>
      <c r="T168" s="195">
        <f>+Indexacion!U61</f>
        <v>8422.4</v>
      </c>
      <c r="U168" s="201">
        <f t="shared" si="80"/>
        <v>-3.5233513720721588E-3</v>
      </c>
    </row>
    <row r="169" spans="10:22" x14ac:dyDescent="0.2">
      <c r="J169" s="38">
        <v>46174</v>
      </c>
      <c r="K169" s="38" t="s">
        <v>145</v>
      </c>
      <c r="L169" s="38" t="s">
        <v>48</v>
      </c>
      <c r="M169" s="77">
        <v>220</v>
      </c>
      <c r="N169" s="35">
        <f>+Indexacion!N62</f>
        <v>8600.9500000000007</v>
      </c>
      <c r="O169" s="35">
        <f>+Indexacion!M62</f>
        <v>8568.56</v>
      </c>
      <c r="P169" s="42">
        <f t="shared" ref="P169:P170" si="81">+O169/N169-1</f>
        <v>-3.7658630732653187E-3</v>
      </c>
      <c r="Q169" s="37" t="s">
        <v>56</v>
      </c>
      <c r="R169" s="77">
        <v>220</v>
      </c>
      <c r="S169" s="36">
        <f>+Indexacion!V62</f>
        <v>8452.18</v>
      </c>
      <c r="T169" s="35">
        <f>+Indexacion!U62</f>
        <v>8421.31</v>
      </c>
      <c r="U169" s="84">
        <f t="shared" ref="U169:U170" si="82">+T169/S169-1</f>
        <v>-3.6523121845489781E-3</v>
      </c>
    </row>
    <row r="170" spans="10:22" x14ac:dyDescent="0.2">
      <c r="J170" s="194">
        <v>46204</v>
      </c>
      <c r="K170" s="2" t="s">
        <v>145</v>
      </c>
      <c r="L170" s="194" t="s">
        <v>48</v>
      </c>
      <c r="M170" s="197">
        <v>220</v>
      </c>
      <c r="N170" s="195">
        <f>+Indexacion!N63</f>
        <v>8600.9500000000007</v>
      </c>
      <c r="O170" s="195">
        <f>+Indexacion!M63</f>
        <v>8557.2000000000007</v>
      </c>
      <c r="P170" s="198">
        <f t="shared" si="81"/>
        <v>-5.0866474052284616E-3</v>
      </c>
      <c r="Q170" s="199" t="s">
        <v>56</v>
      </c>
      <c r="R170" s="197">
        <v>220</v>
      </c>
      <c r="S170" s="200">
        <f>+Indexacion!V63</f>
        <v>8452.18</v>
      </c>
      <c r="T170" s="195">
        <f>+Indexacion!U63</f>
        <v>8410.26</v>
      </c>
      <c r="U170" s="201">
        <f t="shared" si="82"/>
        <v>-4.9596672101162032E-3</v>
      </c>
    </row>
    <row r="171" spans="10:22" x14ac:dyDescent="0.2">
      <c r="J171" s="38">
        <v>46235</v>
      </c>
      <c r="K171" s="38" t="s">
        <v>145</v>
      </c>
      <c r="L171" s="38" t="s">
        <v>48</v>
      </c>
      <c r="M171" s="77">
        <v>220</v>
      </c>
      <c r="N171" s="35">
        <f>+Indexacion!N64</f>
        <v>8600.9500000000007</v>
      </c>
      <c r="O171" s="35">
        <f>+Indexacion!M64</f>
        <v>8595.66</v>
      </c>
      <c r="P171" s="42">
        <f t="shared" ref="P171" si="83">+O171/N171-1</f>
        <v>-6.1504833768377676E-4</v>
      </c>
      <c r="Q171" s="37" t="s">
        <v>56</v>
      </c>
      <c r="R171" s="77">
        <v>220</v>
      </c>
      <c r="S171" s="36">
        <f>+Indexacion!V64</f>
        <v>8452.18</v>
      </c>
      <c r="T171" s="35">
        <f>+Indexacion!U64</f>
        <v>8447.7800000000007</v>
      </c>
      <c r="U171" s="84">
        <f t="shared" ref="U171" si="84">+T171/S171-1</f>
        <v>-5.2057575678698953E-4</v>
      </c>
    </row>
  </sheetData>
  <phoneticPr fontId="23" type="noConversion"/>
  <printOptions horizontalCentered="1" gridLinesSet="0"/>
  <pageMargins left="0.75" right="0.75" top="2.3622047244094491" bottom="1" header="0.51181102362204722" footer="0.51181102362204722"/>
  <pageSetup scale="66" orientation="portrait" r:id="rId1"/>
  <headerFooter alignWithMargins="0">
    <oddHeader>&amp;L&amp;"Arial,Negrita"&amp;12COMISION NACIONAL DE ENERGIA</oddHeader>
    <oddFooter>&amp;L&amp;F-&amp;A&amp;CPágina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44F9C-21C7-41AA-8E1B-04069A4B5F80}">
  <dimension ref="B2:B27"/>
  <sheetViews>
    <sheetView workbookViewId="0">
      <selection sqref="A1:XFD1048576"/>
    </sheetView>
  </sheetViews>
  <sheetFormatPr baseColWidth="10" defaultColWidth="11.42578125" defaultRowHeight="12.75" x14ac:dyDescent="0.2"/>
  <cols>
    <col min="1" max="16384" width="11.42578125" style="210"/>
  </cols>
  <sheetData>
    <row r="2" spans="2:2" x14ac:dyDescent="0.2">
      <c r="B2" s="217" t="s">
        <v>106</v>
      </c>
    </row>
    <row r="12" spans="2:2" x14ac:dyDescent="0.2">
      <c r="B12" s="217" t="s">
        <v>105</v>
      </c>
    </row>
    <row r="19" spans="2:2" x14ac:dyDescent="0.2">
      <c r="B19" s="217" t="s">
        <v>104</v>
      </c>
    </row>
    <row r="27" spans="2:2" x14ac:dyDescent="0.2">
      <c r="B27" s="217" t="s">
        <v>103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Fuentes</vt:lpstr>
      <vt:lpstr>Indices</vt:lpstr>
      <vt:lpstr>Parámetros</vt:lpstr>
      <vt:lpstr>Indexacion</vt:lpstr>
      <vt:lpstr>Histórico</vt:lpstr>
      <vt:lpstr>Formulas</vt:lpstr>
      <vt:lpstr>Fuentes!Área_de_impresión</vt:lpstr>
      <vt:lpstr>Histórico!Área_de_impresión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Fabían Barría</dc:creator>
  <cp:lastModifiedBy>Rodrigo de la Fuente</cp:lastModifiedBy>
  <dcterms:created xsi:type="dcterms:W3CDTF">2009-07-17T15:28:27Z</dcterms:created>
  <dcterms:modified xsi:type="dcterms:W3CDTF">2026-08-04T19:52:34Z</dcterms:modified>
</cp:coreProperties>
</file>