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5/07_Julio_2025/"/>
    </mc:Choice>
  </mc:AlternateContent>
  <xr:revisionPtr revIDLastSave="96" documentId="6_{56AC8750-C27A-4FC5-9C0E-7DC72A870D0F}" xr6:coauthVersionLast="47" xr6:coauthVersionMax="47" xr10:uidLastSave="{DE99B015-7980-4014-82B1-90968E092F47}"/>
  <bookViews>
    <workbookView xWindow="28680" yWindow="-315" windowWidth="29040" windowHeight="15840" activeTab="2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25" l="1"/>
  <c r="V50" i="25"/>
  <c r="S157" i="24" s="1"/>
  <c r="N50" i="25"/>
  <c r="N157" i="24" s="1"/>
  <c r="F50" i="25"/>
  <c r="E50" i="25"/>
  <c r="H79" i="28"/>
  <c r="J74" i="28"/>
  <c r="K74" i="28"/>
  <c r="K73" i="28"/>
  <c r="J73" i="28"/>
  <c r="H78" i="28"/>
  <c r="D49" i="25"/>
  <c r="E49" i="25"/>
  <c r="F49" i="25"/>
  <c r="N49" i="25"/>
  <c r="N156" i="24" s="1"/>
  <c r="V49" i="25"/>
  <c r="S156" i="24" s="1"/>
  <c r="K72" i="28"/>
  <c r="J72" i="28"/>
  <c r="H77" i="28"/>
  <c r="D48" i="25"/>
  <c r="E48" i="25"/>
  <c r="F48" i="25"/>
  <c r="N48" i="25"/>
  <c r="N155" i="24" s="1"/>
  <c r="V48" i="25"/>
  <c r="S155" i="24" s="1"/>
  <c r="H76" i="28"/>
  <c r="H75" i="28"/>
  <c r="H74" i="28"/>
  <c r="K71" i="28"/>
  <c r="J71" i="28"/>
  <c r="D47" i="25"/>
  <c r="E47" i="25"/>
  <c r="F47" i="25"/>
  <c r="N47" i="25"/>
  <c r="N154" i="24" s="1"/>
  <c r="V47" i="25"/>
  <c r="S154" i="24" s="1"/>
  <c r="J70" i="28"/>
  <c r="K70" i="28"/>
  <c r="J69" i="28"/>
  <c r="K69" i="28"/>
  <c r="D46" i="25"/>
  <c r="E46" i="25"/>
  <c r="F46" i="25"/>
  <c r="N46" i="25"/>
  <c r="N153" i="24" s="1"/>
  <c r="V46" i="25"/>
  <c r="S153" i="24" s="1"/>
  <c r="D45" i="25" l="1"/>
  <c r="E45" i="25"/>
  <c r="F45" i="25"/>
  <c r="N45" i="25"/>
  <c r="N152" i="24" s="1"/>
  <c r="V45" i="25"/>
  <c r="S152" i="24" s="1"/>
  <c r="H73" i="28"/>
  <c r="K68" i="28"/>
  <c r="J68" i="28"/>
  <c r="K67" i="28"/>
  <c r="J67" i="28"/>
  <c r="K66" i="28"/>
  <c r="J66" i="28"/>
  <c r="D44" i="25"/>
  <c r="E44" i="25"/>
  <c r="F44" i="25"/>
  <c r="N44" i="25"/>
  <c r="N151" i="24" s="1"/>
  <c r="V44" i="25"/>
  <c r="S151" i="24" s="1"/>
  <c r="H72" i="28"/>
  <c r="I71" i="28"/>
  <c r="H71" i="28"/>
  <c r="D43" i="25"/>
  <c r="E43" i="25"/>
  <c r="F43" i="25"/>
  <c r="N43" i="25"/>
  <c r="N150" i="24" s="1"/>
  <c r="V43" i="25"/>
  <c r="S150" i="24" s="1"/>
  <c r="D42" i="25"/>
  <c r="E42" i="25"/>
  <c r="F42" i="25"/>
  <c r="G42" i="25"/>
  <c r="N42" i="25"/>
  <c r="N149" i="24" s="1"/>
  <c r="V42" i="25"/>
  <c r="S149" i="24" s="1"/>
  <c r="D41" i="25"/>
  <c r="E41" i="25"/>
  <c r="F41" i="25"/>
  <c r="N41" i="25"/>
  <c r="N148" i="24" s="1"/>
  <c r="V41" i="25"/>
  <c r="S148" i="24" s="1"/>
  <c r="K65" i="28"/>
  <c r="J65" i="28"/>
  <c r="H70" i="28"/>
  <c r="K64" i="28"/>
  <c r="J64" i="28"/>
  <c r="H69" i="28"/>
  <c r="D40" i="25"/>
  <c r="E40" i="25"/>
  <c r="F40" i="25"/>
  <c r="N40" i="25"/>
  <c r="N147" i="24" s="1"/>
  <c r="V40" i="25"/>
  <c r="S147" i="24" s="1"/>
  <c r="H68" i="28"/>
  <c r="D39" i="25"/>
  <c r="E39" i="25"/>
  <c r="F39" i="25"/>
  <c r="N39" i="25"/>
  <c r="N146" i="24" s="1"/>
  <c r="V39" i="25"/>
  <c r="S146" i="24" s="1"/>
  <c r="H67" i="28"/>
  <c r="D38" i="25"/>
  <c r="E38" i="25"/>
  <c r="F38" i="25"/>
  <c r="N38" i="25"/>
  <c r="N145" i="24" s="1"/>
  <c r="V38" i="25"/>
  <c r="S145" i="24" s="1"/>
  <c r="H66" i="28"/>
  <c r="D37" i="25"/>
  <c r="E37" i="25"/>
  <c r="F37" i="25"/>
  <c r="N37" i="25"/>
  <c r="N144" i="24" s="1"/>
  <c r="V37" i="25"/>
  <c r="S144" i="24" s="1"/>
  <c r="H65" i="28"/>
  <c r="D36" i="25"/>
  <c r="E36" i="25"/>
  <c r="F36" i="25"/>
  <c r="N36" i="25"/>
  <c r="N143" i="24" s="1"/>
  <c r="V36" i="25"/>
  <c r="S143" i="24" s="1"/>
  <c r="H64" i="28"/>
  <c r="D35" i="25"/>
  <c r="E35" i="25"/>
  <c r="F35" i="25"/>
  <c r="N35" i="25"/>
  <c r="N142" i="24" s="1"/>
  <c r="V35" i="25"/>
  <c r="S142" i="24" s="1"/>
  <c r="O54" i="28"/>
  <c r="D68" i="28" s="1"/>
  <c r="D34" i="25"/>
  <c r="E34" i="25"/>
  <c r="F34" i="25"/>
  <c r="N34" i="25"/>
  <c r="N141" i="24" s="1"/>
  <c r="V34" i="25"/>
  <c r="S141" i="24" s="1"/>
  <c r="D33" i="25"/>
  <c r="E33" i="25"/>
  <c r="F33" i="25"/>
  <c r="G33" i="25"/>
  <c r="N33" i="25"/>
  <c r="N140" i="24" s="1"/>
  <c r="V33" i="25"/>
  <c r="S140" i="24" s="1"/>
  <c r="D63" i="28" l="1"/>
  <c r="G34" i="25" s="1"/>
  <c r="T34" i="25" s="1"/>
  <c r="I68" i="28"/>
  <c r="G39" i="25"/>
  <c r="L39" i="25" s="1"/>
  <c r="D64" i="28"/>
  <c r="D66" i="28"/>
  <c r="D69" i="28"/>
  <c r="D70" i="28"/>
  <c r="D78" i="28"/>
  <c r="D75" i="28"/>
  <c r="D79" i="28"/>
  <c r="D76" i="28"/>
  <c r="D77" i="28"/>
  <c r="D74" i="28"/>
  <c r="D72" i="28"/>
  <c r="D65" i="28"/>
  <c r="D73" i="28"/>
  <c r="D67" i="28"/>
  <c r="J42" i="25"/>
  <c r="L42" i="25"/>
  <c r="I42" i="25"/>
  <c r="S42" i="25"/>
  <c r="R42" i="25"/>
  <c r="Q42" i="25"/>
  <c r="T42" i="25"/>
  <c r="K42" i="25"/>
  <c r="I39" i="25"/>
  <c r="J39" i="25"/>
  <c r="R39" i="25"/>
  <c r="Q39" i="25"/>
  <c r="T39" i="25"/>
  <c r="S39" i="25"/>
  <c r="K39" i="25"/>
  <c r="S33" i="25"/>
  <c r="J34" i="25"/>
  <c r="I34" i="25"/>
  <c r="L34" i="25"/>
  <c r="I33" i="25"/>
  <c r="Q34" i="25"/>
  <c r="R34" i="25"/>
  <c r="K34" i="25"/>
  <c r="S34" i="25"/>
  <c r="L33" i="25"/>
  <c r="T33" i="25"/>
  <c r="R33" i="25"/>
  <c r="Q33" i="25"/>
  <c r="K33" i="25"/>
  <c r="J33" i="25"/>
  <c r="I73" i="28" l="1"/>
  <c r="G44" i="25"/>
  <c r="G43" i="25"/>
  <c r="I72" i="28"/>
  <c r="I74" i="28"/>
  <c r="G45" i="25"/>
  <c r="G48" i="25"/>
  <c r="I77" i="28"/>
  <c r="G47" i="25"/>
  <c r="I76" i="28"/>
  <c r="G38" i="25"/>
  <c r="I67" i="28"/>
  <c r="I79" i="28"/>
  <c r="G50" i="25"/>
  <c r="I75" i="28"/>
  <c r="G46" i="25"/>
  <c r="I78" i="28"/>
  <c r="G49" i="25"/>
  <c r="G41" i="25"/>
  <c r="I70" i="28"/>
  <c r="G40" i="25"/>
  <c r="I69" i="28"/>
  <c r="I66" i="28"/>
  <c r="G37" i="25"/>
  <c r="G36" i="25"/>
  <c r="I65" i="28"/>
  <c r="G35" i="25"/>
  <c r="I64" i="28"/>
  <c r="M42" i="25"/>
  <c r="O149" i="24" s="1"/>
  <c r="P149" i="24" s="1"/>
  <c r="U42" i="25"/>
  <c r="W42" i="25" s="1"/>
  <c r="M39" i="25"/>
  <c r="O146" i="24" s="1"/>
  <c r="P146" i="24" s="1"/>
  <c r="U39" i="25"/>
  <c r="M34" i="25"/>
  <c r="O34" i="25" s="1"/>
  <c r="U33" i="25"/>
  <c r="T140" i="24" s="1"/>
  <c r="U140" i="24" s="1"/>
  <c r="U34" i="25"/>
  <c r="M33" i="25"/>
  <c r="O33" i="25" s="1"/>
  <c r="S50" i="25" l="1"/>
  <c r="T50" i="25"/>
  <c r="Q50" i="25"/>
  <c r="L50" i="25"/>
  <c r="I50" i="25"/>
  <c r="K50" i="25"/>
  <c r="R50" i="25"/>
  <c r="J50" i="25"/>
  <c r="T35" i="25"/>
  <c r="J35" i="25"/>
  <c r="K35" i="25"/>
  <c r="I35" i="25"/>
  <c r="R35" i="25"/>
  <c r="L35" i="25"/>
  <c r="Q35" i="25"/>
  <c r="S35" i="25"/>
  <c r="I38" i="25"/>
  <c r="L38" i="25"/>
  <c r="T38" i="25"/>
  <c r="R38" i="25"/>
  <c r="S38" i="25"/>
  <c r="K38" i="25"/>
  <c r="Q38" i="25"/>
  <c r="J38" i="25"/>
  <c r="L46" i="25"/>
  <c r="R46" i="25"/>
  <c r="J46" i="25"/>
  <c r="Q46" i="25"/>
  <c r="I46" i="25"/>
  <c r="T46" i="25"/>
  <c r="K46" i="25"/>
  <c r="S46" i="25"/>
  <c r="J36" i="25"/>
  <c r="I36" i="25"/>
  <c r="T36" i="25"/>
  <c r="R36" i="25"/>
  <c r="L36" i="25"/>
  <c r="S36" i="25"/>
  <c r="Q36" i="25"/>
  <c r="U36" i="25" s="1"/>
  <c r="W36" i="25" s="1"/>
  <c r="K36" i="25"/>
  <c r="K47" i="25"/>
  <c r="L47" i="25"/>
  <c r="Q47" i="25"/>
  <c r="T47" i="25"/>
  <c r="S47" i="25"/>
  <c r="J47" i="25"/>
  <c r="I47" i="25"/>
  <c r="R47" i="25"/>
  <c r="R37" i="25"/>
  <c r="J37" i="25"/>
  <c r="I37" i="25"/>
  <c r="L37" i="25"/>
  <c r="T37" i="25"/>
  <c r="S37" i="25"/>
  <c r="Q37" i="25"/>
  <c r="U37" i="25" s="1"/>
  <c r="T144" i="24" s="1"/>
  <c r="U144" i="24" s="1"/>
  <c r="K37" i="25"/>
  <c r="Q48" i="25"/>
  <c r="R48" i="25"/>
  <c r="T48" i="25"/>
  <c r="L48" i="25"/>
  <c r="K48" i="25"/>
  <c r="J48" i="25"/>
  <c r="S48" i="25"/>
  <c r="I48" i="25"/>
  <c r="M48" i="25" s="1"/>
  <c r="J45" i="25"/>
  <c r="Q45" i="25"/>
  <c r="T45" i="25"/>
  <c r="K45" i="25"/>
  <c r="S45" i="25"/>
  <c r="L45" i="25"/>
  <c r="I45" i="25"/>
  <c r="M45" i="25" s="1"/>
  <c r="O152" i="24" s="1"/>
  <c r="P152" i="24" s="1"/>
  <c r="R45" i="25"/>
  <c r="I40" i="25"/>
  <c r="R40" i="25"/>
  <c r="L40" i="25"/>
  <c r="K40" i="25"/>
  <c r="J40" i="25"/>
  <c r="T40" i="25"/>
  <c r="S40" i="25"/>
  <c r="Q40" i="25"/>
  <c r="U40" i="25" s="1"/>
  <c r="W40" i="25" s="1"/>
  <c r="K41" i="25"/>
  <c r="I41" i="25"/>
  <c r="T41" i="25"/>
  <c r="L41" i="25"/>
  <c r="Q41" i="25"/>
  <c r="J41" i="25"/>
  <c r="R41" i="25"/>
  <c r="S41" i="25"/>
  <c r="K43" i="25"/>
  <c r="R43" i="25"/>
  <c r="T43" i="25"/>
  <c r="J43" i="25"/>
  <c r="I43" i="25"/>
  <c r="S43" i="25"/>
  <c r="L43" i="25"/>
  <c r="Q43" i="25"/>
  <c r="U43" i="25" s="1"/>
  <c r="T150" i="24" s="1"/>
  <c r="U150" i="24" s="1"/>
  <c r="J44" i="25"/>
  <c r="I44" i="25"/>
  <c r="R44" i="25"/>
  <c r="Q44" i="25"/>
  <c r="S44" i="25"/>
  <c r="L44" i="25"/>
  <c r="K44" i="25"/>
  <c r="T44" i="25"/>
  <c r="R49" i="25"/>
  <c r="Q49" i="25"/>
  <c r="K49" i="25"/>
  <c r="J49" i="25"/>
  <c r="I49" i="25"/>
  <c r="L49" i="25"/>
  <c r="T49" i="25"/>
  <c r="S49" i="25"/>
  <c r="O42" i="25"/>
  <c r="T149" i="24"/>
  <c r="U149" i="24" s="1"/>
  <c r="O39" i="25"/>
  <c r="T146" i="24"/>
  <c r="U146" i="24" s="1"/>
  <c r="W39" i="25"/>
  <c r="O141" i="24"/>
  <c r="P141" i="24" s="1"/>
  <c r="W33" i="25"/>
  <c r="T141" i="24"/>
  <c r="U141" i="24" s="1"/>
  <c r="W34" i="25"/>
  <c r="O140" i="24"/>
  <c r="P140" i="24" s="1"/>
  <c r="M41" i="25" l="1"/>
  <c r="O41" i="25" s="1"/>
  <c r="M49" i="25"/>
  <c r="O49" i="25" s="1"/>
  <c r="U38" i="25"/>
  <c r="T145" i="24" s="1"/>
  <c r="U145" i="24" s="1"/>
  <c r="M44" i="25"/>
  <c r="O151" i="24" s="1"/>
  <c r="P151" i="24" s="1"/>
  <c r="M47" i="25"/>
  <c r="U35" i="25"/>
  <c r="M43" i="25"/>
  <c r="M46" i="25"/>
  <c r="U47" i="25"/>
  <c r="M40" i="25"/>
  <c r="U48" i="25"/>
  <c r="U49" i="25"/>
  <c r="T143" i="24"/>
  <c r="U143" i="24" s="1"/>
  <c r="W43" i="25"/>
  <c r="M50" i="25"/>
  <c r="O48" i="25"/>
  <c r="O155" i="24"/>
  <c r="P155" i="24" s="1"/>
  <c r="M35" i="25"/>
  <c r="U46" i="25"/>
  <c r="U41" i="25"/>
  <c r="U44" i="25"/>
  <c r="T147" i="24"/>
  <c r="U147" i="24" s="1"/>
  <c r="W37" i="25"/>
  <c r="M37" i="25"/>
  <c r="U50" i="25"/>
  <c r="U45" i="25"/>
  <c r="M36" i="25"/>
  <c r="O45" i="25"/>
  <c r="M38" i="25"/>
  <c r="D32" i="25"/>
  <c r="E32" i="25"/>
  <c r="F32" i="25"/>
  <c r="G32" i="25"/>
  <c r="N32" i="25"/>
  <c r="V32" i="25"/>
  <c r="O148" i="24" l="1"/>
  <c r="P148" i="24" s="1"/>
  <c r="W38" i="25"/>
  <c r="O156" i="24"/>
  <c r="P156" i="24" s="1"/>
  <c r="O44" i="25"/>
  <c r="O50" i="25"/>
  <c r="O157" i="24"/>
  <c r="P157" i="24" s="1"/>
  <c r="O143" i="24"/>
  <c r="P143" i="24" s="1"/>
  <c r="O36" i="25"/>
  <c r="T152" i="24"/>
  <c r="U152" i="24" s="1"/>
  <c r="W45" i="25"/>
  <c r="W49" i="25"/>
  <c r="T156" i="24"/>
  <c r="U156" i="24" s="1"/>
  <c r="T155" i="24"/>
  <c r="U155" i="24" s="1"/>
  <c r="W48" i="25"/>
  <c r="O144" i="24"/>
  <c r="P144" i="24" s="1"/>
  <c r="O37" i="25"/>
  <c r="O40" i="25"/>
  <c r="O147" i="24"/>
  <c r="P147" i="24" s="1"/>
  <c r="W47" i="25"/>
  <c r="T154" i="24"/>
  <c r="U154" i="24" s="1"/>
  <c r="W50" i="25"/>
  <c r="T157" i="24"/>
  <c r="U157" i="24" s="1"/>
  <c r="O153" i="24"/>
  <c r="P153" i="24" s="1"/>
  <c r="O46" i="25"/>
  <c r="O38" i="25"/>
  <c r="O145" i="24"/>
  <c r="P145" i="24" s="1"/>
  <c r="O43" i="25"/>
  <c r="O150" i="24"/>
  <c r="P150" i="24" s="1"/>
  <c r="T151" i="24"/>
  <c r="U151" i="24" s="1"/>
  <c r="W44" i="25"/>
  <c r="T148" i="24"/>
  <c r="U148" i="24" s="1"/>
  <c r="W41" i="25"/>
  <c r="W46" i="25"/>
  <c r="T153" i="24"/>
  <c r="U153" i="24" s="1"/>
  <c r="T142" i="24"/>
  <c r="U142" i="24" s="1"/>
  <c r="W35" i="25"/>
  <c r="O142" i="24"/>
  <c r="P142" i="24" s="1"/>
  <c r="O35" i="25"/>
  <c r="O154" i="24"/>
  <c r="P154" i="24" s="1"/>
  <c r="O47" i="25"/>
  <c r="J32" i="25"/>
  <c r="T32" i="25"/>
  <c r="I32" i="25"/>
  <c r="L32" i="25"/>
  <c r="R32" i="25"/>
  <c r="Q32" i="25"/>
  <c r="S32" i="25"/>
  <c r="K32" i="25"/>
  <c r="N139" i="24"/>
  <c r="S139" i="24"/>
  <c r="D31" i="25"/>
  <c r="E31" i="25"/>
  <c r="F31" i="25"/>
  <c r="G31" i="25"/>
  <c r="N31" i="25"/>
  <c r="N138" i="24" s="1"/>
  <c r="V31" i="25"/>
  <c r="S138" i="24" s="1"/>
  <c r="D30" i="25"/>
  <c r="E30" i="25"/>
  <c r="F30" i="25"/>
  <c r="G30" i="25"/>
  <c r="N30" i="25"/>
  <c r="N137" i="24" s="1"/>
  <c r="V30" i="25"/>
  <c r="S137" i="24" s="1"/>
  <c r="V29" i="25"/>
  <c r="S136" i="24" s="1"/>
  <c r="N29" i="25"/>
  <c r="N136" i="24" s="1"/>
  <c r="G29" i="25"/>
  <c r="F29" i="25"/>
  <c r="E29" i="25"/>
  <c r="D29" i="25"/>
  <c r="V28" i="25"/>
  <c r="S135" i="24" s="1"/>
  <c r="N28" i="25"/>
  <c r="N135" i="24" s="1"/>
  <c r="G28" i="25"/>
  <c r="F28" i="25"/>
  <c r="E28" i="25"/>
  <c r="D28" i="25"/>
  <c r="V27" i="25"/>
  <c r="S134" i="24" s="1"/>
  <c r="N27" i="25"/>
  <c r="N134" i="24" s="1"/>
  <c r="G27" i="25"/>
  <c r="F27" i="25"/>
  <c r="E27" i="25"/>
  <c r="D27" i="25"/>
  <c r="V26" i="25"/>
  <c r="S133" i="24" s="1"/>
  <c r="N26" i="25"/>
  <c r="N133" i="24" s="1"/>
  <c r="G26" i="25"/>
  <c r="F26" i="25"/>
  <c r="E26" i="25"/>
  <c r="D26" i="25"/>
  <c r="V25" i="25"/>
  <c r="S132" i="24" s="1"/>
  <c r="N25" i="25"/>
  <c r="N132" i="24" s="1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M32" i="25" l="1"/>
  <c r="O32" i="25" s="1"/>
  <c r="U32" i="25"/>
  <c r="W32" i="25" s="1"/>
  <c r="I31" i="25"/>
  <c r="L31" i="25"/>
  <c r="I30" i="25"/>
  <c r="J31" i="25"/>
  <c r="R31" i="25"/>
  <c r="Q31" i="25"/>
  <c r="S31" i="25"/>
  <c r="T31" i="25"/>
  <c r="K31" i="25"/>
  <c r="L30" i="25"/>
  <c r="J30" i="25"/>
  <c r="S28" i="25"/>
  <c r="T30" i="25"/>
  <c r="R30" i="25"/>
  <c r="Q30" i="25"/>
  <c r="S30" i="25"/>
  <c r="K30" i="25"/>
  <c r="T28" i="25"/>
  <c r="T29" i="25"/>
  <c r="S29" i="25"/>
  <c r="Q28" i="25"/>
  <c r="Q29" i="25"/>
  <c r="I29" i="25"/>
  <c r="J29" i="25"/>
  <c r="L29" i="25"/>
  <c r="K29" i="25"/>
  <c r="R29" i="25"/>
  <c r="I28" i="25"/>
  <c r="J28" i="25"/>
  <c r="K28" i="25"/>
  <c r="L28" i="25"/>
  <c r="R28" i="25"/>
  <c r="T26" i="25"/>
  <c r="Q26" i="25"/>
  <c r="T27" i="25"/>
  <c r="Q27" i="25"/>
  <c r="S27" i="25"/>
  <c r="I27" i="25"/>
  <c r="J27" i="25"/>
  <c r="K27" i="25"/>
  <c r="L27" i="25"/>
  <c r="R27" i="25"/>
  <c r="S26" i="25"/>
  <c r="Q25" i="25"/>
  <c r="I26" i="25"/>
  <c r="J26" i="25"/>
  <c r="K26" i="25"/>
  <c r="L26" i="25"/>
  <c r="R26" i="25"/>
  <c r="T25" i="25"/>
  <c r="S25" i="25"/>
  <c r="J25" i="25"/>
  <c r="K25" i="25"/>
  <c r="L25" i="25"/>
  <c r="I25" i="25"/>
  <c r="R25" i="25"/>
  <c r="Q24" i="25"/>
  <c r="S24" i="25"/>
  <c r="T24" i="25"/>
  <c r="J24" i="25"/>
  <c r="K24" i="25"/>
  <c r="I24" i="25"/>
  <c r="L24" i="25"/>
  <c r="R24" i="25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O139" i="24" l="1"/>
  <c r="P139" i="24" s="1"/>
  <c r="T139" i="24"/>
  <c r="U139" i="24" s="1"/>
  <c r="U31" i="25"/>
  <c r="W31" i="25" s="1"/>
  <c r="M31" i="25"/>
  <c r="O31" i="25" s="1"/>
  <c r="M30" i="25"/>
  <c r="O137" i="24" s="1"/>
  <c r="P137" i="24" s="1"/>
  <c r="U30" i="25"/>
  <c r="U28" i="25"/>
  <c r="W28" i="25" s="1"/>
  <c r="U29" i="25"/>
  <c r="W29" i="25" s="1"/>
  <c r="M29" i="25"/>
  <c r="M28" i="25"/>
  <c r="U27" i="25"/>
  <c r="W27" i="25" s="1"/>
  <c r="M27" i="25"/>
  <c r="U26" i="25"/>
  <c r="W26" i="25" s="1"/>
  <c r="M26" i="25"/>
  <c r="U25" i="25"/>
  <c r="W25" i="25" s="1"/>
  <c r="M25" i="25"/>
  <c r="M24" i="25"/>
  <c r="O24" i="25" s="1"/>
  <c r="U24" i="25"/>
  <c r="W24" i="25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T138" i="24" l="1"/>
  <c r="U138" i="24" s="1"/>
  <c r="O138" i="24"/>
  <c r="P138" i="24" s="1"/>
  <c r="O30" i="25"/>
  <c r="T137" i="24"/>
  <c r="U137" i="24" s="1"/>
  <c r="W30" i="25"/>
  <c r="T135" i="24"/>
  <c r="U135" i="24" s="1"/>
  <c r="T136" i="24"/>
  <c r="U136" i="24" s="1"/>
  <c r="O29" i="25"/>
  <c r="O136" i="24"/>
  <c r="P136" i="24" s="1"/>
  <c r="O28" i="25"/>
  <c r="O135" i="24"/>
  <c r="P135" i="24" s="1"/>
  <c r="T134" i="24"/>
  <c r="U134" i="24" s="1"/>
  <c r="O27" i="25"/>
  <c r="O134" i="24"/>
  <c r="P134" i="24" s="1"/>
  <c r="T133" i="24"/>
  <c r="U133" i="24" s="1"/>
  <c r="O133" i="24"/>
  <c r="P133" i="24" s="1"/>
  <c r="O26" i="25"/>
  <c r="T132" i="24"/>
  <c r="U132" i="24" s="1"/>
  <c r="O25" i="25"/>
  <c r="O132" i="24"/>
  <c r="P132" i="24" s="1"/>
  <c r="O131" i="24"/>
  <c r="P131" i="24" s="1"/>
  <c r="T131" i="24"/>
  <c r="U131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<sst xmlns="http://schemas.openxmlformats.org/spreadsheetml/2006/main" count="1065" uniqueCount="144">
  <si>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</si>
  <si>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</si>
  <si>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</si>
  <si>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</si>
  <si>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</si>
  <si>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</si>
  <si>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</si>
  <si>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</si>
  <si>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</si>
  <si>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</si>
  <si>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</si>
  <si>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</si>
  <si>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</si>
  <si>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</si>
  <si>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</si>
  <si>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</si>
  <si>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</si>
  <si>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</si>
  <si>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</si>
  <si>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</si>
  <si>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</si>
  <si>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</si>
  <si>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</si>
  <si>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</si>
  <si>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</si>
  <si>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</si>
  <si>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</si>
  <si>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</si>
  <si>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</si>
  <si>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</si>
  <si>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</si>
  <si>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</si>
  <si>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</si>
  <si>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</si>
  <si>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</si>
  <si>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</si>
  <si>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</si>
  <si>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</si>
  <si>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</si>
  <si>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</si>
  <si>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</si>
  <si>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</si>
  <si>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</si>
  <si>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</si>
  <si>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</si>
  <si>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</si>
  <si>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</si>
  <si>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</si>
  <si>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</si>
  <si>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</si>
  <si>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</si>
  <si>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</si>
  <si>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</si>
  <si>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</si>
  <si>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</si>
  <si>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</si>
  <si>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</si>
  <si>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</si>
  <si>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</si>
  <si>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</si>
  <si>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</si>
  <si>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</si>
  <si>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</si>
  <si>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</si>
  <si>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</si>
  <si>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</si>
  <si>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</si>
  <si>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</si>
  <si>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</si>
  <si>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</si>
  <si>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</si>
  <si>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</si>
  <si>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</si>
  <si>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</si>
  <si>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</si>
  <si>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</si>
  <si>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</si>
  <si>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</si>
  <si>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</si>
  <si>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</si>
  <si>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</si>
  <si>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</si>
  <si>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</si>
  <si>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</si>
  <si>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</si>
  <si>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</si>
  <si>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</si>
  <si>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</si>
  <si>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</si>
  <si>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</si>
  <si>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</si>
  <si>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</si>
  <si>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</si>
  <si>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</si>
  <si>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</si>
  <si>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</si>
  <si>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</si>
  <si>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</si>
  <si>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</si>
  <si>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</si>
  <si>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</si>
  <si>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</si>
  <si>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</si>
  <si>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</si>
  <si>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</si>
  <si>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</si>
  <si>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</si>
  <si>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</si>
  <si>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</si>
  <si>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</si>
  <si>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</si>
  <si>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</si>
  <si>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</si>
  <si>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</si>
  <si>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</si>
  <si>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</si>
  <si>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</si>
  <si>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</si>
  <si>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</si>
  <si>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</si>
  <si>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</si>
  <si>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</si>
  <si>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</si>
  <si>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</si>
  <si>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</si>
  <si>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</si>
  <si>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</si>
  <si>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</si>
  <si>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</si>
  <si>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</si>
  <si>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1.2 "Fórmulas de indexación" del Artículo Primero del Decreto N° 1T/2023 del Ministerio de Energía</t>
  </si>
  <si>
    <t>Decreto 1T/2023</t>
  </si>
  <si>
    <t>Decreto 1T/2023 indexado por RE N°349/2023</t>
  </si>
  <si>
    <t>IPC Base-2023=100</t>
  </si>
  <si>
    <t>Factor de Enlace</t>
  </si>
  <si>
    <t>Decreto 3T/2023</t>
  </si>
  <si>
    <t>1.2 "Fórmulas de indexación" del Artículo Primero del Decreto N° 3T/2023 del Ministerio de Energía</t>
  </si>
  <si>
    <t>Decreto 3T/2023, indexado por RE N° 83/2024</t>
  </si>
  <si>
    <t>Decreto 1T/2024</t>
  </si>
  <si>
    <t>1.2 "Fórmulas de indexación" del Artículo Primero del Decreto N° 1T/2024 del Ministerio de Energía</t>
  </si>
  <si>
    <t>Decreto 9T/2024</t>
  </si>
  <si>
    <t>Decreto 1T/2025</t>
  </si>
  <si>
    <t>1.2 "Fórmulas de indexación" del Artículo Primero del Decreto N° 9T/2024 del Ministerio de Energía</t>
  </si>
  <si>
    <t>1.2 "Fórmulas de indexación" del Artículo Primero del Decreto N° 1T/2025 del Ministerio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</si>
</sst>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  <numFmt numFmtId="175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5" fontId="0" fillId="0" borderId="1" xfId="3" applyFont="1" applyFill="1" applyBorder="1" applyAlignment="1">
      <alignment horizontal="center"/>
    </xf>
    <xf numFmtId="165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5" fontId="6" fillId="5" borderId="1" xfId="3" applyFont="1" applyFill="1" applyBorder="1" applyAlignment="1">
      <alignment horizontal="center"/>
    </xf>
    <xf numFmtId="165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5" fontId="0" fillId="0" borderId="27" xfId="3" applyFont="1" applyFill="1" applyBorder="1" applyAlignment="1">
      <alignment horizontal="center"/>
    </xf>
    <xf numFmtId="165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5" fontId="2" fillId="0" borderId="32" xfId="3" applyFont="1" applyFill="1" applyBorder="1" applyAlignment="1">
      <alignment horizontal="center"/>
    </xf>
    <xf numFmtId="165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5" fontId="6" fillId="5" borderId="37" xfId="3" applyFont="1" applyFill="1" applyBorder="1" applyAlignment="1">
      <alignment horizontal="center"/>
    </xf>
    <xf numFmtId="165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5" fontId="0" fillId="0" borderId="32" xfId="3" applyFont="1" applyFill="1" applyBorder="1" applyAlignment="1">
      <alignment horizontal="center"/>
    </xf>
    <xf numFmtId="165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5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5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5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5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5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5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5" fontId="6" fillId="0" borderId="18" xfId="3" applyFont="1" applyFill="1" applyBorder="1" applyAlignment="1">
      <alignment horizontal="center"/>
    </xf>
    <xf numFmtId="165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5" fontId="6" fillId="5" borderId="27" xfId="3" applyFont="1" applyFill="1" applyBorder="1" applyAlignment="1">
      <alignment horizontal="center"/>
    </xf>
    <xf numFmtId="165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5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5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5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5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5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5" fontId="6" fillId="5" borderId="32" xfId="3" applyFont="1" applyFill="1" applyBorder="1" applyAlignment="1">
      <alignment horizontal="center"/>
    </xf>
    <xf numFmtId="165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5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5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5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5" fontId="6" fillId="5" borderId="52" xfId="3" applyFont="1" applyFill="1" applyBorder="1" applyAlignment="1">
      <alignment horizontal="center"/>
    </xf>
    <xf numFmtId="165" fontId="6" fillId="0" borderId="41" xfId="3" applyFont="1" applyFill="1" applyBorder="1" applyAlignment="1">
      <alignment horizontal="center"/>
    </xf>
    <xf numFmtId="165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5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5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5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5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5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5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5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5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5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5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5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41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41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5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5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41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41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41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41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41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41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1" xfId="4" applyFill="1" applyBorder="1" applyAlignment="1">
      <alignment horizontal="center" vertical="center"/>
    </xf>
    <xf numFmtId="0" fontId="2" fillId="5" borderId="72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41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4" fontId="2" fillId="6" borderId="8" xfId="0" applyNumberFormat="1" applyFon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5" fontId="2" fillId="5" borderId="1" xfId="7" applyNumberFormat="1" applyFont="1" applyFill="1" applyBorder="1" applyAlignment="1">
      <alignment horizontal="center"/>
    </xf>
    <xf numFmtId="175" fontId="2" fillId="5" borderId="1" xfId="0" applyNumberFormat="1" applyFont="1" applyFill="1" applyBorder="1" applyAlignment="1">
      <alignment horizontal="center"/>
    </xf>
    <xf numFmtId="173" fontId="2" fillId="5" borderId="1" xfId="0" applyNumberFormat="1" applyFont="1" applyFill="1" applyBorder="1" applyAlignment="1">
      <alignment horizontal="center"/>
    </xf>
    <xf numFmtId="167" fontId="2" fillId="6" borderId="37" xfId="49" applyNumberFormat="1" applyFont="1" applyFill="1" applyBorder="1" applyAlignment="1">
      <alignment horizontal="center"/>
    </xf>
    <xf numFmtId="168" fontId="2" fillId="6" borderId="37" xfId="49" applyNumberFormat="1" applyFont="1" applyFill="1" applyBorder="1" applyAlignment="1">
      <alignment horizontal="center"/>
    </xf>
    <xf numFmtId="167" fontId="2" fillId="5" borderId="37" xfId="49" applyNumberFormat="1" applyFont="1" applyFill="1" applyBorder="1" applyAlignment="1">
      <alignment horizontal="center"/>
    </xf>
    <xf numFmtId="168" fontId="2" fillId="5" borderId="37" xfId="49" applyNumberFormat="1" applyFont="1" applyFill="1" applyBorder="1" applyAlignment="1">
      <alignment horizontal="center"/>
    </xf>
    <xf numFmtId="0" fontId="4" fillId="0" borderId="0" xfId="4" quotePrefix="1" applyFont="1"/>
    <xf numFmtId="175" fontId="0" fillId="5" borderId="1" xfId="0" applyNumberFormat="1" applyFill="1" applyBorder="1" applyAlignment="1">
      <alignment horizontal="center"/>
    </xf>
    <xf numFmtId="0" fontId="2" fillId="5" borderId="37" xfId="4" applyFill="1" applyBorder="1" applyAlignment="1">
      <alignment horizontal="center" vertical="center"/>
    </xf>
    <xf numFmtId="172" fontId="2" fillId="5" borderId="37" xfId="49" applyNumberFormat="1" applyFont="1" applyFill="1" applyBorder="1" applyAlignment="1">
      <alignment horizontal="center"/>
    </xf>
    <xf numFmtId="171" fontId="2" fillId="5" borderId="37" xfId="49" applyNumberFormat="1" applyFont="1" applyFill="1" applyBorder="1" applyAlignment="1">
      <alignment horizontal="center"/>
    </xf>
    <xf numFmtId="174" fontId="2" fillId="5" borderId="37" xfId="49" applyNumberFormat="1" applyFont="1" applyFill="1" applyBorder="1" applyAlignment="1">
      <alignment horizontal="center"/>
    </xf>
    <xf numFmtId="41" fontId="2" fillId="6" borderId="37" xfId="49" applyFont="1" applyFill="1" applyBorder="1" applyAlignment="1">
      <alignment horizontal="center"/>
    </xf>
    <xf numFmtId="167" fontId="0" fillId="6" borderId="37" xfId="49" applyNumberFormat="1" applyFont="1" applyFill="1" applyBorder="1" applyAlignment="1">
      <alignment horizontal="center"/>
    </xf>
    <xf numFmtId="170" fontId="0" fillId="6" borderId="37" xfId="7" applyNumberFormat="1" applyFont="1" applyFill="1" applyBorder="1" applyAlignment="1">
      <alignment horizontal="center"/>
    </xf>
    <xf numFmtId="41" fontId="0" fillId="6" borderId="37" xfId="49" applyFont="1" applyFill="1" applyBorder="1" applyAlignment="1">
      <alignment horizontal="center"/>
    </xf>
    <xf numFmtId="170" fontId="2" fillId="6" borderId="37" xfId="7" applyNumberFormat="1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48</xdr:row>
      <xdr:rowOff>0</xdr:rowOff>
    </xdr:from>
    <xdr:to>
      <xdr:col>17</xdr:col>
      <xdr:colOff>110656</xdr:colOff>
      <xdr:row>51</xdr:row>
      <xdr:rowOff>66576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A98DC-33D4-46B1-859F-0AB699553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7772400"/>
          <a:ext cx="2415706" cy="552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33"/>
  <sheetViews>
    <sheetView showGridLines="0" workbookViewId="0"/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7" t="s">
        <v>6</v>
      </c>
      <c r="C3" s="18" t="s">
        <v>7</v>
      </c>
      <c r="D3" s="129" t="s">
        <v>51</v>
      </c>
    </row>
    <row r="4" spans="2:4" ht="25.5" x14ac:dyDescent="0.2">
      <c r="B4" s="7" t="s">
        <v>0</v>
      </c>
      <c r="C4" s="8" t="s">
        <v>3</v>
      </c>
      <c r="D4" s="13" t="s">
        <v>8</v>
      </c>
    </row>
    <row r="5" spans="2:4" ht="51" x14ac:dyDescent="0.2">
      <c r="B5" s="14" t="s">
        <v>9</v>
      </c>
      <c r="C5" s="8" t="s">
        <v>5</v>
      </c>
      <c r="D5" s="13" t="s">
        <v>52</v>
      </c>
    </row>
    <row r="6" spans="2:4" ht="39" thickBot="1" x14ac:dyDescent="0.25">
      <c r="B6" s="15" t="s">
        <v>4</v>
      </c>
      <c r="C6" s="9" t="s">
        <v>5</v>
      </c>
      <c r="D6" s="16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  <row r="29" spans="2:2" x14ac:dyDescent="0.2">
      <c r="B29" s="10" t="s">
        <v>130</v>
      </c>
    </row>
    <row r="30" spans="2:2" x14ac:dyDescent="0.2">
      <c r="B30" s="10" t="s">
        <v>136</v>
      </c>
    </row>
    <row r="31" spans="2:2" x14ac:dyDescent="0.2">
      <c r="B31" s="10" t="s">
        <v>139</v>
      </c>
    </row>
    <row r="32" spans="2:2" x14ac:dyDescent="0.2">
      <c r="B32" s="10" t="s">
        <v>142</v>
      </c>
    </row>
    <row r="33" spans="2:2" x14ac:dyDescent="0.2">
      <c r="B33" s="10" t="s">
        <v>143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54"/>
  <sheetViews>
    <sheetView showGridLines="0" zoomScaleNormal="100" workbookViewId="0">
      <pane ySplit="8" topLeftCell="A36" activePane="bottomLeft" state="frozen"/>
      <selection pane="bottomLeft"/>
    </sheetView>
  </sheetViews>
  <sheetFormatPr baseColWidth="10" defaultColWidth="11.42578125" defaultRowHeight="12.75" x14ac:dyDescent="0.2"/>
  <cols>
    <col min="1" max="1" width="3.42578125" style="210" customWidth="1"/>
    <col min="2" max="2" width="7.42578125" style="210" hidden="1" customWidth="1"/>
    <col min="3" max="3" width="11.42578125" style="210"/>
    <col min="4" max="4" width="56" style="210" bestFit="1" customWidth="1"/>
    <col min="5" max="6" width="7.7109375" style="210" bestFit="1" customWidth="1"/>
    <col min="7" max="7" width="12.42578125" style="210" bestFit="1" customWidth="1"/>
    <col min="8" max="8" width="12.140625" style="210" bestFit="1" customWidth="1"/>
    <col min="9" max="9" width="9.7109375" style="210" bestFit="1" customWidth="1"/>
    <col min="10" max="10" width="13.42578125" style="210" bestFit="1" customWidth="1"/>
    <col min="11" max="12" width="9.7109375" style="210" bestFit="1" customWidth="1"/>
    <col min="13" max="13" width="13.42578125" style="210" bestFit="1" customWidth="1"/>
    <col min="14" max="15" width="9" style="210" bestFit="1" customWidth="1"/>
    <col min="16" max="16" width="8.85546875" style="210" customWidth="1"/>
    <col min="17" max="17" width="16.42578125" style="210" bestFit="1" customWidth="1"/>
    <col min="18" max="18" width="7.140625" style="210" bestFit="1" customWidth="1"/>
    <col min="19" max="19" width="10.7109375" style="210" bestFit="1" customWidth="1"/>
    <col min="20" max="20" width="11.7109375" style="210" bestFit="1" customWidth="1"/>
    <col min="21" max="21" width="13.28515625" style="210" bestFit="1" customWidth="1"/>
    <col min="22" max="22" width="12.42578125" style="210" customWidth="1"/>
    <col min="23" max="23" width="12" style="210" bestFit="1" customWidth="1"/>
    <col min="24" max="24" width="8.85546875" style="210" bestFit="1" customWidth="1"/>
    <col min="25" max="25" width="13.28515625" style="210" bestFit="1" customWidth="1"/>
    <col min="26" max="27" width="8.85546875" style="210" bestFit="1" customWidth="1"/>
    <col min="28" max="28" width="13.28515625" style="210" bestFit="1" customWidth="1"/>
    <col min="29" max="30" width="8.85546875" style="210" bestFit="1" customWidth="1"/>
    <col min="31" max="31" width="8.7109375" style="210" bestFit="1" customWidth="1"/>
    <col min="32" max="32" width="16.42578125" style="210" bestFit="1" customWidth="1"/>
    <col min="33" max="34" width="8.7109375" style="210" bestFit="1" customWidth="1"/>
    <col min="35" max="37" width="11.7109375" style="210" bestFit="1" customWidth="1"/>
    <col min="38" max="38" width="14.28515625" style="210" bestFit="1" customWidth="1"/>
    <col min="39" max="16384" width="11.42578125" style="210"/>
  </cols>
  <sheetData>
    <row r="1" spans="1:38" x14ac:dyDescent="0.2">
      <c r="S1" s="216" t="s">
        <v>102</v>
      </c>
    </row>
    <row r="2" spans="1:38" ht="15.75" x14ac:dyDescent="0.25">
      <c r="A2" s="212" t="s">
        <v>101</v>
      </c>
      <c r="B2" s="212"/>
    </row>
    <row r="4" spans="1:38" x14ac:dyDescent="0.2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5" thickBot="1" x14ac:dyDescent="0.25"/>
    <row r="6" spans="1:38" s="213" customFormat="1" ht="13.5" thickBot="1" x14ac:dyDescent="0.25">
      <c r="E6" s="214"/>
      <c r="F6" s="341" t="s">
        <v>124</v>
      </c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2"/>
      <c r="T6" s="340" t="s">
        <v>100</v>
      </c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2"/>
      <c r="AI6" s="340" t="s">
        <v>113</v>
      </c>
      <c r="AJ6" s="341"/>
      <c r="AK6" s="341"/>
      <c r="AL6" s="341"/>
    </row>
    <row r="7" spans="1:38" s="213" customFormat="1" ht="13.5" thickBot="1" x14ac:dyDescent="0.25">
      <c r="C7" s="338" t="s">
        <v>22</v>
      </c>
      <c r="D7" s="338" t="s">
        <v>24</v>
      </c>
      <c r="E7" s="338" t="s">
        <v>10</v>
      </c>
      <c r="F7" s="335" t="s">
        <v>80</v>
      </c>
      <c r="G7" s="336"/>
      <c r="H7" s="336"/>
      <c r="I7" s="337"/>
      <c r="J7" s="335" t="s">
        <v>99</v>
      </c>
      <c r="K7" s="336"/>
      <c r="L7" s="337"/>
      <c r="M7" s="335" t="s">
        <v>98</v>
      </c>
      <c r="N7" s="336"/>
      <c r="O7" s="337"/>
      <c r="P7" s="333" t="s">
        <v>77</v>
      </c>
      <c r="Q7" s="333" t="s">
        <v>97</v>
      </c>
      <c r="R7" s="333" t="s">
        <v>96</v>
      </c>
      <c r="S7" s="333" t="s">
        <v>95</v>
      </c>
      <c r="T7" s="338" t="s">
        <v>10</v>
      </c>
      <c r="U7" s="335" t="s">
        <v>80</v>
      </c>
      <c r="V7" s="336"/>
      <c r="W7" s="336"/>
      <c r="X7" s="337"/>
      <c r="Y7" s="335" t="s">
        <v>99</v>
      </c>
      <c r="Z7" s="336"/>
      <c r="AA7" s="337"/>
      <c r="AB7" s="335" t="s">
        <v>98</v>
      </c>
      <c r="AC7" s="336"/>
      <c r="AD7" s="337"/>
      <c r="AE7" s="333" t="s">
        <v>77</v>
      </c>
      <c r="AF7" s="333" t="s">
        <v>97</v>
      </c>
      <c r="AG7" s="333" t="s">
        <v>96</v>
      </c>
      <c r="AH7" s="333" t="s">
        <v>95</v>
      </c>
      <c r="AI7" s="333" t="s">
        <v>94</v>
      </c>
      <c r="AJ7" s="333" t="s">
        <v>93</v>
      </c>
      <c r="AK7" s="333" t="s">
        <v>92</v>
      </c>
      <c r="AL7" s="333" t="s">
        <v>91</v>
      </c>
    </row>
    <row r="8" spans="1:38" s="213" customFormat="1" ht="18.75" customHeight="1" thickBot="1" x14ac:dyDescent="0.25">
      <c r="C8" s="339"/>
      <c r="D8" s="339"/>
      <c r="E8" s="339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34"/>
      <c r="Q8" s="334"/>
      <c r="R8" s="334"/>
      <c r="S8" s="334"/>
      <c r="T8" s="339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34"/>
      <c r="AF8" s="334"/>
      <c r="AG8" s="334"/>
      <c r="AH8" s="334"/>
      <c r="AI8" s="334"/>
      <c r="AJ8" s="334"/>
      <c r="AK8" s="334"/>
      <c r="AL8" s="334"/>
    </row>
    <row r="9" spans="1:38" s="213" customFormat="1" x14ac:dyDescent="0.2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6">
        <v>5418.16</v>
      </c>
      <c r="AG9" s="288">
        <v>1.1000000000000001</v>
      </c>
      <c r="AH9" s="288">
        <v>1.0043</v>
      </c>
      <c r="AI9" s="297">
        <v>8.7849999999999994E-3</v>
      </c>
      <c r="AJ9" s="297">
        <v>8.1379999999999994E-3</v>
      </c>
      <c r="AK9" s="297">
        <v>8.0850000000000002E-3</v>
      </c>
      <c r="AL9" s="288">
        <v>1.0488090000000001</v>
      </c>
    </row>
    <row r="10" spans="1:38" s="213" customFormat="1" x14ac:dyDescent="0.2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33">
        <f t="shared" ref="AF10:AF13" si="0">+AF9</f>
        <v>5418.16</v>
      </c>
      <c r="AG10" s="228">
        <v>1.1000000000000001</v>
      </c>
      <c r="AH10" s="228">
        <v>1.0043</v>
      </c>
      <c r="AI10" s="298">
        <v>8.7849999999999994E-3</v>
      </c>
      <c r="AJ10" s="298">
        <v>8.1379999999999994E-3</v>
      </c>
      <c r="AK10" s="298">
        <v>8.0850000000000002E-3</v>
      </c>
      <c r="AL10" s="228">
        <v>1.0488090000000001</v>
      </c>
    </row>
    <row r="11" spans="1:38" s="213" customFormat="1" x14ac:dyDescent="0.2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53">
        <f t="shared" si="0"/>
        <v>5418.16</v>
      </c>
      <c r="AG11" s="229">
        <v>1.1000000000000001</v>
      </c>
      <c r="AH11" s="229">
        <v>1.0043</v>
      </c>
      <c r="AI11" s="299">
        <v>8.7849999999999994E-3</v>
      </c>
      <c r="AJ11" s="299">
        <v>8.1379999999999994E-3</v>
      </c>
      <c r="AK11" s="299">
        <v>8.0850000000000002E-3</v>
      </c>
      <c r="AL11" s="229">
        <v>1.0488090000000001</v>
      </c>
    </row>
    <row r="12" spans="1:38" s="213" customFormat="1" x14ac:dyDescent="0.2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33">
        <f t="shared" si="0"/>
        <v>5418.16</v>
      </c>
      <c r="AG12" s="228">
        <v>1.1000000000000001</v>
      </c>
      <c r="AH12" s="228">
        <v>1.0043</v>
      </c>
      <c r="AI12" s="298">
        <v>8.7849999999999994E-3</v>
      </c>
      <c r="AJ12" s="298">
        <v>8.1379999999999994E-3</v>
      </c>
      <c r="AK12" s="298">
        <v>8.0850000000000002E-3</v>
      </c>
      <c r="AL12" s="228">
        <v>1.0488090000000001</v>
      </c>
    </row>
    <row r="13" spans="1:38" s="213" customFormat="1" x14ac:dyDescent="0.2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53">
        <f t="shared" si="0"/>
        <v>5418.16</v>
      </c>
      <c r="AG13" s="229">
        <v>1.1000000000000001</v>
      </c>
      <c r="AH13" s="229">
        <v>1.0043</v>
      </c>
      <c r="AI13" s="299">
        <v>8.7849999999999994E-3</v>
      </c>
      <c r="AJ13" s="299">
        <v>8.1379999999999994E-3</v>
      </c>
      <c r="AK13" s="299">
        <v>8.0850000000000002E-3</v>
      </c>
      <c r="AL13" s="229">
        <v>1.0488090000000001</v>
      </c>
    </row>
    <row r="14" spans="1:38" s="213" customFormat="1" x14ac:dyDescent="0.2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33">
        <v>6221.93</v>
      </c>
      <c r="AG14" s="228">
        <v>1.1000000000000001</v>
      </c>
      <c r="AH14" s="228">
        <v>1.0043</v>
      </c>
      <c r="AI14" s="298">
        <v>8.7849999999999994E-3</v>
      </c>
      <c r="AJ14" s="298">
        <v>8.1379999999999994E-3</v>
      </c>
      <c r="AK14" s="298">
        <v>8.0850000000000002E-3</v>
      </c>
      <c r="AL14" s="228">
        <v>1.0488090000000001</v>
      </c>
    </row>
    <row r="15" spans="1:38" x14ac:dyDescent="0.2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53">
        <v>6119.19</v>
      </c>
      <c r="AG15" s="229">
        <v>1.1000000000000001</v>
      </c>
      <c r="AH15" s="229">
        <v>1.0043</v>
      </c>
      <c r="AI15" s="299">
        <v>8.7849999999999994E-3</v>
      </c>
      <c r="AJ15" s="299">
        <v>8.1379999999999994E-3</v>
      </c>
      <c r="AK15" s="299">
        <v>8.0850000000000002E-3</v>
      </c>
      <c r="AL15" s="229">
        <v>1.0488090000000001</v>
      </c>
    </row>
    <row r="16" spans="1:38" x14ac:dyDescent="0.2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33">
        <v>6119.19</v>
      </c>
      <c r="AG16" s="228">
        <v>1.1000000000000001</v>
      </c>
      <c r="AH16" s="228">
        <v>1.0043</v>
      </c>
      <c r="AI16" s="298">
        <v>8.7849999999999994E-3</v>
      </c>
      <c r="AJ16" s="298">
        <v>8.1379999999999994E-3</v>
      </c>
      <c r="AK16" s="298">
        <v>8.0850000000000002E-3</v>
      </c>
      <c r="AL16" s="228">
        <v>1.0488090000000001</v>
      </c>
    </row>
    <row r="17" spans="3:38" x14ac:dyDescent="0.2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53">
        <v>6119.19</v>
      </c>
      <c r="AG17" s="229">
        <v>1.1000000000000001</v>
      </c>
      <c r="AH17" s="229">
        <v>1.0043</v>
      </c>
      <c r="AI17" s="299">
        <v>8.7849999999999994E-3</v>
      </c>
      <c r="AJ17" s="299">
        <v>8.1379999999999994E-3</v>
      </c>
      <c r="AK17" s="299">
        <v>8.0850000000000002E-3</v>
      </c>
      <c r="AL17" s="229">
        <v>1.0488090000000001</v>
      </c>
    </row>
    <row r="18" spans="3:38" x14ac:dyDescent="0.2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33">
        <v>6119.19</v>
      </c>
      <c r="AG18" s="228">
        <v>1.1000000000000001</v>
      </c>
      <c r="AH18" s="228">
        <v>1.0043</v>
      </c>
      <c r="AI18" s="298">
        <v>8.7849999999999994E-3</v>
      </c>
      <c r="AJ18" s="298">
        <v>8.1379999999999994E-3</v>
      </c>
      <c r="AK18" s="298">
        <v>8.0850000000000002E-3</v>
      </c>
      <c r="AL18" s="228">
        <v>1.0488090000000001</v>
      </c>
    </row>
    <row r="19" spans="3:38" x14ac:dyDescent="0.2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53">
        <v>6119.19</v>
      </c>
      <c r="AG19" s="229">
        <v>1.1000000000000001</v>
      </c>
      <c r="AH19" s="229">
        <v>1.0043</v>
      </c>
      <c r="AI19" s="299">
        <v>8.7849999999999994E-3</v>
      </c>
      <c r="AJ19" s="299">
        <v>8.1379999999999994E-3</v>
      </c>
      <c r="AK19" s="299">
        <v>8.0850000000000002E-3</v>
      </c>
      <c r="AL19" s="229">
        <v>1.0488090000000001</v>
      </c>
    </row>
    <row r="20" spans="3:38" x14ac:dyDescent="0.2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33">
        <v>6119.19</v>
      </c>
      <c r="AG20" s="228">
        <v>1.1000000000000001</v>
      </c>
      <c r="AH20" s="228">
        <v>1.0043</v>
      </c>
      <c r="AI20" s="298">
        <v>8.7849999999999994E-3</v>
      </c>
      <c r="AJ20" s="298">
        <v>8.1379999999999994E-3</v>
      </c>
      <c r="AK20" s="298">
        <v>8.0850000000000002E-3</v>
      </c>
      <c r="AL20" s="228">
        <v>1.0488090000000001</v>
      </c>
    </row>
    <row r="21" spans="3:38" x14ac:dyDescent="0.2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53">
        <v>6535.12</v>
      </c>
      <c r="AG21" s="229">
        <v>1.1000000000000001</v>
      </c>
      <c r="AH21" s="229">
        <v>1.0043</v>
      </c>
      <c r="AI21" s="299">
        <v>8.7849999999999994E-3</v>
      </c>
      <c r="AJ21" s="299">
        <v>8.1379999999999994E-3</v>
      </c>
      <c r="AK21" s="299">
        <v>8.0850000000000002E-3</v>
      </c>
      <c r="AL21" s="229">
        <v>1.0488090000000001</v>
      </c>
    </row>
    <row r="22" spans="3:38" x14ac:dyDescent="0.2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33">
        <v>6535.12</v>
      </c>
      <c r="AG22" s="228">
        <v>1.1000000000000001</v>
      </c>
      <c r="AH22" s="228">
        <v>1.0043</v>
      </c>
      <c r="AI22" s="298">
        <v>8.7849999999999994E-3</v>
      </c>
      <c r="AJ22" s="298">
        <v>8.1379999999999994E-3</v>
      </c>
      <c r="AK22" s="298">
        <v>8.0850000000000002E-3</v>
      </c>
      <c r="AL22" s="228">
        <v>1.0488090000000001</v>
      </c>
    </row>
    <row r="23" spans="3:38" x14ac:dyDescent="0.2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53">
        <v>7465.69</v>
      </c>
      <c r="AG23" s="229">
        <v>1.1000000000000001</v>
      </c>
      <c r="AH23" s="229">
        <v>1.0043</v>
      </c>
      <c r="AI23" s="299">
        <v>8.7849999999999994E-3</v>
      </c>
      <c r="AJ23" s="299">
        <v>8.1379999999999994E-3</v>
      </c>
      <c r="AK23" s="299">
        <v>8.0850000000000002E-3</v>
      </c>
      <c r="AL23" s="229">
        <v>1.0488090000000001</v>
      </c>
    </row>
    <row r="24" spans="3:38" x14ac:dyDescent="0.2">
      <c r="C24" s="38">
        <v>44927</v>
      </c>
      <c r="D24" s="38" t="s">
        <v>129</v>
      </c>
      <c r="E24" s="301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2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33">
        <v>7465.69</v>
      </c>
      <c r="AG24" s="228">
        <v>1.1000000000000001</v>
      </c>
      <c r="AH24" s="228">
        <v>1.0043</v>
      </c>
      <c r="AI24" s="298">
        <v>8.7849999999999994E-3</v>
      </c>
      <c r="AJ24" s="298">
        <v>8.1379999999999994E-3</v>
      </c>
      <c r="AK24" s="298">
        <v>8.0850000000000002E-3</v>
      </c>
      <c r="AL24" s="228">
        <v>1.0488090000000001</v>
      </c>
    </row>
    <row r="25" spans="3:38" x14ac:dyDescent="0.2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53">
        <v>7465.69</v>
      </c>
      <c r="AG25" s="229">
        <v>1.1000000000000001</v>
      </c>
      <c r="AH25" s="229">
        <v>1.0043</v>
      </c>
      <c r="AI25" s="299">
        <v>8.7849999999999994E-3</v>
      </c>
      <c r="AJ25" s="299">
        <v>8.1379999999999994E-3</v>
      </c>
      <c r="AK25" s="299">
        <v>8.0850000000000002E-3</v>
      </c>
      <c r="AL25" s="229">
        <v>1.0488090000000001</v>
      </c>
    </row>
    <row r="26" spans="3:38" x14ac:dyDescent="0.2">
      <c r="C26" s="38">
        <v>44986</v>
      </c>
      <c r="D26" s="38" t="s">
        <v>129</v>
      </c>
      <c r="E26" s="301" t="s">
        <v>48</v>
      </c>
      <c r="F26" s="233">
        <v>546</v>
      </c>
      <c r="G26" s="257">
        <v>0.72697000000000001</v>
      </c>
      <c r="H26" s="257">
        <v>5.9339999999999997E-2</v>
      </c>
      <c r="I26" s="257">
        <v>0.21368999999999999</v>
      </c>
      <c r="J26" s="228">
        <v>72.837000000000003</v>
      </c>
      <c r="K26" s="257">
        <v>0.54988000000000004</v>
      </c>
      <c r="L26" s="257">
        <v>0.45012000000000002</v>
      </c>
      <c r="M26" s="228">
        <v>11.917999999999999</v>
      </c>
      <c r="N26" s="257">
        <v>0.15295</v>
      </c>
      <c r="O26" s="257">
        <v>0.84704999999999997</v>
      </c>
      <c r="P26" s="228">
        <v>1.107</v>
      </c>
      <c r="Q26" s="233">
        <v>7940</v>
      </c>
      <c r="R26" s="228">
        <v>1.1000000000000001</v>
      </c>
      <c r="S26" s="255">
        <v>1.0046999999999999</v>
      </c>
      <c r="T26" s="302" t="s">
        <v>56</v>
      </c>
      <c r="U26" s="228">
        <v>523.88</v>
      </c>
      <c r="V26" s="228">
        <v>0.73073999999999995</v>
      </c>
      <c r="W26" s="228">
        <v>5.9639999999999999E-2</v>
      </c>
      <c r="X26" s="228">
        <v>0.20962</v>
      </c>
      <c r="Y26" s="228">
        <v>67.846000000000004</v>
      </c>
      <c r="Z26" s="257">
        <v>0.64307000000000003</v>
      </c>
      <c r="AA26" s="257">
        <v>0.35693000000000003</v>
      </c>
      <c r="AB26" s="228">
        <v>7.7210000000000001</v>
      </c>
      <c r="AC26" s="228">
        <v>0.12336</v>
      </c>
      <c r="AD26" s="228">
        <v>0.87663999999999997</v>
      </c>
      <c r="AE26" s="228">
        <v>0.95299999999999996</v>
      </c>
      <c r="AF26" s="233">
        <v>7465.69</v>
      </c>
      <c r="AG26" s="228">
        <v>1.1000000000000001</v>
      </c>
      <c r="AH26" s="228">
        <v>1.0043</v>
      </c>
      <c r="AI26" s="298">
        <v>8.7849999999999994E-3</v>
      </c>
      <c r="AJ26" s="298">
        <v>8.1379999999999994E-3</v>
      </c>
      <c r="AK26" s="298">
        <v>8.0850000000000002E-3</v>
      </c>
      <c r="AL26" s="228">
        <v>1.0488090000000001</v>
      </c>
    </row>
    <row r="27" spans="3:38" x14ac:dyDescent="0.2">
      <c r="C27" s="2">
        <v>45017</v>
      </c>
      <c r="D27" s="2" t="s">
        <v>131</v>
      </c>
      <c r="E27" s="276" t="s">
        <v>48</v>
      </c>
      <c r="F27" s="227">
        <v>546</v>
      </c>
      <c r="G27" s="256">
        <v>0.72697000000000001</v>
      </c>
      <c r="H27" s="256">
        <v>5.9339999999999997E-2</v>
      </c>
      <c r="I27" s="256">
        <v>0.21368999999999999</v>
      </c>
      <c r="J27" s="258">
        <v>72.837000000000003</v>
      </c>
      <c r="K27" s="256">
        <v>0.54988000000000004</v>
      </c>
      <c r="L27" s="256">
        <v>0.45012000000000002</v>
      </c>
      <c r="M27" s="258">
        <v>11.917999999999999</v>
      </c>
      <c r="N27" s="256">
        <v>0.15295</v>
      </c>
      <c r="O27" s="256">
        <v>0.84704999999999997</v>
      </c>
      <c r="P27" s="258">
        <v>1.107</v>
      </c>
      <c r="Q27" s="253">
        <v>7790.34</v>
      </c>
      <c r="R27" s="229">
        <v>1.1000000000000001</v>
      </c>
      <c r="S27" s="254">
        <v>1.0046999999999999</v>
      </c>
      <c r="T27" s="276" t="s">
        <v>56</v>
      </c>
      <c r="U27" s="258">
        <v>523.88</v>
      </c>
      <c r="V27" s="229">
        <v>0.73073999999999995</v>
      </c>
      <c r="W27" s="229">
        <v>5.9639999999999999E-2</v>
      </c>
      <c r="X27" s="229">
        <v>0.20962</v>
      </c>
      <c r="Y27" s="258">
        <v>67.846000000000004</v>
      </c>
      <c r="Z27" s="256">
        <v>0.64307000000000003</v>
      </c>
      <c r="AA27" s="256">
        <v>0.35693000000000003</v>
      </c>
      <c r="AB27" s="258">
        <v>7.7210000000000001</v>
      </c>
      <c r="AC27" s="229">
        <v>0.12336</v>
      </c>
      <c r="AD27" s="229">
        <v>0.87663999999999997</v>
      </c>
      <c r="AE27" s="258">
        <v>0.95299999999999996</v>
      </c>
      <c r="AF27" s="253">
        <v>7318.15</v>
      </c>
      <c r="AG27" s="229">
        <v>1.1000000000000001</v>
      </c>
      <c r="AH27" s="229">
        <v>1.0043</v>
      </c>
      <c r="AI27" s="299">
        <v>8.7849999999999994E-3</v>
      </c>
      <c r="AJ27" s="299">
        <v>8.1379999999999994E-3</v>
      </c>
      <c r="AK27" s="299">
        <v>8.0850000000000002E-3</v>
      </c>
      <c r="AL27" s="229">
        <v>1.0488090000000001</v>
      </c>
    </row>
    <row r="28" spans="3:38" x14ac:dyDescent="0.2">
      <c r="C28" s="38">
        <v>45047</v>
      </c>
      <c r="D28" s="38" t="s">
        <v>131</v>
      </c>
      <c r="E28" s="301" t="s">
        <v>48</v>
      </c>
      <c r="F28" s="233">
        <v>546</v>
      </c>
      <c r="G28" s="257">
        <v>0.72697000000000001</v>
      </c>
      <c r="H28" s="257">
        <v>5.9339999999999997E-2</v>
      </c>
      <c r="I28" s="257">
        <v>0.21368999999999999</v>
      </c>
      <c r="J28" s="228">
        <v>72.837000000000003</v>
      </c>
      <c r="K28" s="257">
        <v>0.54988000000000004</v>
      </c>
      <c r="L28" s="257">
        <v>0.45012000000000002</v>
      </c>
      <c r="M28" s="228">
        <v>11.917999999999999</v>
      </c>
      <c r="N28" s="257">
        <v>0.15295</v>
      </c>
      <c r="O28" s="257">
        <v>0.84704999999999997</v>
      </c>
      <c r="P28" s="228">
        <v>1.107</v>
      </c>
      <c r="Q28" s="233">
        <v>7790.34</v>
      </c>
      <c r="R28" s="228">
        <v>1.1000000000000001</v>
      </c>
      <c r="S28" s="255">
        <v>1.0046999999999999</v>
      </c>
      <c r="T28" s="302" t="s">
        <v>56</v>
      </c>
      <c r="U28" s="228">
        <v>523.88</v>
      </c>
      <c r="V28" s="228">
        <v>0.73073999999999995</v>
      </c>
      <c r="W28" s="228">
        <v>5.9639999999999999E-2</v>
      </c>
      <c r="X28" s="228">
        <v>0.20962</v>
      </c>
      <c r="Y28" s="228">
        <v>67.846000000000004</v>
      </c>
      <c r="Z28" s="257">
        <v>0.64307000000000003</v>
      </c>
      <c r="AA28" s="257">
        <v>0.35693000000000003</v>
      </c>
      <c r="AB28" s="228">
        <v>7.7210000000000001</v>
      </c>
      <c r="AC28" s="228">
        <v>0.12336</v>
      </c>
      <c r="AD28" s="228">
        <v>0.87663999999999997</v>
      </c>
      <c r="AE28" s="228">
        <v>0.95299999999999996</v>
      </c>
      <c r="AF28" s="233">
        <v>7318.15</v>
      </c>
      <c r="AG28" s="228">
        <v>1.1000000000000001</v>
      </c>
      <c r="AH28" s="228">
        <v>1.0043</v>
      </c>
      <c r="AI28" s="298">
        <v>8.7849999999999994E-3</v>
      </c>
      <c r="AJ28" s="298">
        <v>8.1379999999999994E-3</v>
      </c>
      <c r="AK28" s="298">
        <v>8.0850000000000002E-3</v>
      </c>
      <c r="AL28" s="228">
        <v>1.0488090000000001</v>
      </c>
    </row>
    <row r="29" spans="3:38" x14ac:dyDescent="0.2">
      <c r="C29" s="2">
        <v>45078</v>
      </c>
      <c r="D29" s="2" t="s">
        <v>131</v>
      </c>
      <c r="E29" s="276" t="s">
        <v>48</v>
      </c>
      <c r="F29" s="227">
        <v>546</v>
      </c>
      <c r="G29" s="256">
        <v>0.72697000000000001</v>
      </c>
      <c r="H29" s="256">
        <v>5.9339999999999997E-2</v>
      </c>
      <c r="I29" s="256">
        <v>0.21368999999999999</v>
      </c>
      <c r="J29" s="258">
        <v>72.837000000000003</v>
      </c>
      <c r="K29" s="256">
        <v>0.54988000000000004</v>
      </c>
      <c r="L29" s="256">
        <v>0.45012000000000002</v>
      </c>
      <c r="M29" s="258">
        <v>11.917999999999999</v>
      </c>
      <c r="N29" s="256">
        <v>0.15295</v>
      </c>
      <c r="O29" s="256">
        <v>0.84704999999999997</v>
      </c>
      <c r="P29" s="258">
        <v>1.107</v>
      </c>
      <c r="Q29" s="253">
        <v>7790.34</v>
      </c>
      <c r="R29" s="229">
        <v>1.1000000000000001</v>
      </c>
      <c r="S29" s="254">
        <v>1.0046999999999999</v>
      </c>
      <c r="T29" s="276" t="s">
        <v>56</v>
      </c>
      <c r="U29" s="258">
        <v>523.88</v>
      </c>
      <c r="V29" s="229">
        <v>0.73073999999999995</v>
      </c>
      <c r="W29" s="229">
        <v>5.9639999999999999E-2</v>
      </c>
      <c r="X29" s="229">
        <v>0.20962</v>
      </c>
      <c r="Y29" s="258">
        <v>67.846000000000004</v>
      </c>
      <c r="Z29" s="256">
        <v>0.64307000000000003</v>
      </c>
      <c r="AA29" s="256">
        <v>0.35693000000000003</v>
      </c>
      <c r="AB29" s="258">
        <v>7.7210000000000001</v>
      </c>
      <c r="AC29" s="229">
        <v>0.12336</v>
      </c>
      <c r="AD29" s="229">
        <v>0.87663999999999997</v>
      </c>
      <c r="AE29" s="258">
        <v>0.95299999999999996</v>
      </c>
      <c r="AF29" s="253">
        <v>7318.15</v>
      </c>
      <c r="AG29" s="229">
        <v>1.1000000000000001</v>
      </c>
      <c r="AH29" s="229">
        <v>1.0043</v>
      </c>
      <c r="AI29" s="299">
        <v>8.7849999999999994E-3</v>
      </c>
      <c r="AJ29" s="299">
        <v>8.1379999999999994E-3</v>
      </c>
      <c r="AK29" s="299">
        <v>8.0850000000000002E-3</v>
      </c>
      <c r="AL29" s="229">
        <v>1.0488090000000001</v>
      </c>
    </row>
    <row r="30" spans="3:38" x14ac:dyDescent="0.2">
      <c r="C30" s="38">
        <v>45108</v>
      </c>
      <c r="D30" s="38" t="s">
        <v>131</v>
      </c>
      <c r="E30" s="301" t="s">
        <v>48</v>
      </c>
      <c r="F30" s="233">
        <v>546</v>
      </c>
      <c r="G30" s="257">
        <v>0.72697000000000001</v>
      </c>
      <c r="H30" s="257">
        <v>5.9339999999999997E-2</v>
      </c>
      <c r="I30" s="257">
        <v>0.21368999999999999</v>
      </c>
      <c r="J30" s="228">
        <v>72.837000000000003</v>
      </c>
      <c r="K30" s="257">
        <v>0.54988000000000004</v>
      </c>
      <c r="L30" s="257">
        <v>0.45012000000000002</v>
      </c>
      <c r="M30" s="228">
        <v>11.917999999999999</v>
      </c>
      <c r="N30" s="257">
        <v>0.15295</v>
      </c>
      <c r="O30" s="257">
        <v>0.84704999999999997</v>
      </c>
      <c r="P30" s="228">
        <v>1.107</v>
      </c>
      <c r="Q30" s="233">
        <v>7790.34</v>
      </c>
      <c r="R30" s="228">
        <v>1.1000000000000001</v>
      </c>
      <c r="S30" s="255">
        <v>1.0046999999999999</v>
      </c>
      <c r="T30" s="302" t="s">
        <v>56</v>
      </c>
      <c r="U30" s="228">
        <v>523.88</v>
      </c>
      <c r="V30" s="228">
        <v>0.73073999999999995</v>
      </c>
      <c r="W30" s="228">
        <v>5.9639999999999999E-2</v>
      </c>
      <c r="X30" s="228">
        <v>0.20962</v>
      </c>
      <c r="Y30" s="228">
        <v>67.846000000000004</v>
      </c>
      <c r="Z30" s="257">
        <v>0.64307000000000003</v>
      </c>
      <c r="AA30" s="257">
        <v>0.35693000000000003</v>
      </c>
      <c r="AB30" s="228">
        <v>7.7210000000000001</v>
      </c>
      <c r="AC30" s="228">
        <v>0.12336</v>
      </c>
      <c r="AD30" s="228">
        <v>0.87663999999999997</v>
      </c>
      <c r="AE30" s="228">
        <v>0.95299999999999996</v>
      </c>
      <c r="AF30" s="233">
        <v>7318.15</v>
      </c>
      <c r="AG30" s="228">
        <v>1.1000000000000001</v>
      </c>
      <c r="AH30" s="228">
        <v>1.0043</v>
      </c>
      <c r="AI30" s="298">
        <v>8.7849999999999994E-3</v>
      </c>
      <c r="AJ30" s="298">
        <v>8.1379999999999994E-3</v>
      </c>
      <c r="AK30" s="298">
        <v>8.0850000000000002E-3</v>
      </c>
      <c r="AL30" s="228">
        <v>1.0488090000000001</v>
      </c>
    </row>
    <row r="31" spans="3:38" x14ac:dyDescent="0.2">
      <c r="C31" s="2">
        <v>45139</v>
      </c>
      <c r="D31" s="2" t="s">
        <v>132</v>
      </c>
      <c r="E31" s="276" t="s">
        <v>48</v>
      </c>
      <c r="F31" s="227">
        <v>546</v>
      </c>
      <c r="G31" s="256">
        <v>0.72697000000000001</v>
      </c>
      <c r="H31" s="256">
        <v>5.9339999999999997E-2</v>
      </c>
      <c r="I31" s="256">
        <v>0.21368999999999999</v>
      </c>
      <c r="J31" s="258">
        <v>72.837000000000003</v>
      </c>
      <c r="K31" s="256">
        <v>0.54988000000000004</v>
      </c>
      <c r="L31" s="256">
        <v>0.45012000000000002</v>
      </c>
      <c r="M31" s="258">
        <v>11.917999999999999</v>
      </c>
      <c r="N31" s="256">
        <v>0.15295</v>
      </c>
      <c r="O31" s="256">
        <v>0.84704999999999997</v>
      </c>
      <c r="P31" s="258">
        <v>1.107</v>
      </c>
      <c r="Q31" s="253">
        <v>7127.88</v>
      </c>
      <c r="R31" s="229">
        <v>1.1000000000000001</v>
      </c>
      <c r="S31" s="254">
        <v>1.0046999999999999</v>
      </c>
      <c r="T31" s="276" t="s">
        <v>56</v>
      </c>
      <c r="U31" s="258">
        <v>523.88</v>
      </c>
      <c r="V31" s="229">
        <v>0.73073999999999995</v>
      </c>
      <c r="W31" s="229">
        <v>5.9639999999999999E-2</v>
      </c>
      <c r="X31" s="229">
        <v>0.20962</v>
      </c>
      <c r="Y31" s="258">
        <v>67.846000000000004</v>
      </c>
      <c r="Z31" s="256">
        <v>0.64307000000000003</v>
      </c>
      <c r="AA31" s="256">
        <v>0.35693000000000003</v>
      </c>
      <c r="AB31" s="258">
        <v>7.7210000000000001</v>
      </c>
      <c r="AC31" s="229">
        <v>0.12336</v>
      </c>
      <c r="AD31" s="229">
        <v>0.87663999999999997</v>
      </c>
      <c r="AE31" s="258">
        <v>0.95299999999999996</v>
      </c>
      <c r="AF31" s="253">
        <v>6664.12</v>
      </c>
      <c r="AG31" s="229">
        <v>1.1000000000000001</v>
      </c>
      <c r="AH31" s="229">
        <v>1.0043</v>
      </c>
      <c r="AI31" s="299">
        <v>8.7849999999999994E-3</v>
      </c>
      <c r="AJ31" s="299">
        <v>8.1379999999999994E-3</v>
      </c>
      <c r="AK31" s="299">
        <v>8.0850000000000002E-3</v>
      </c>
      <c r="AL31" s="229">
        <v>1.0488090000000001</v>
      </c>
    </row>
    <row r="32" spans="3:38" x14ac:dyDescent="0.2">
      <c r="C32" s="38">
        <v>45170</v>
      </c>
      <c r="D32" s="38" t="s">
        <v>132</v>
      </c>
      <c r="E32" s="275" t="s">
        <v>48</v>
      </c>
      <c r="F32" s="233">
        <v>546</v>
      </c>
      <c r="G32" s="257">
        <v>0.72697000000000001</v>
      </c>
      <c r="H32" s="257">
        <v>5.9339999999999997E-2</v>
      </c>
      <c r="I32" s="257">
        <v>0.21368999999999999</v>
      </c>
      <c r="J32" s="228">
        <v>72.837000000000003</v>
      </c>
      <c r="K32" s="257">
        <v>0.54988000000000004</v>
      </c>
      <c r="L32" s="257">
        <v>0.45012000000000002</v>
      </c>
      <c r="M32" s="228">
        <v>11.917999999999999</v>
      </c>
      <c r="N32" s="257">
        <v>0.15295</v>
      </c>
      <c r="O32" s="257">
        <v>0.84704999999999997</v>
      </c>
      <c r="P32" s="228">
        <v>1.107</v>
      </c>
      <c r="Q32" s="233">
        <v>7127.88</v>
      </c>
      <c r="R32" s="228">
        <v>1.1000000000000001</v>
      </c>
      <c r="S32" s="255">
        <v>1.0046999999999999</v>
      </c>
      <c r="T32" s="275" t="s">
        <v>56</v>
      </c>
      <c r="U32" s="228">
        <v>523.88</v>
      </c>
      <c r="V32" s="228">
        <v>0.73073999999999995</v>
      </c>
      <c r="W32" s="228">
        <v>5.9639999999999999E-2</v>
      </c>
      <c r="X32" s="228">
        <v>0.20962</v>
      </c>
      <c r="Y32" s="228">
        <v>67.846000000000004</v>
      </c>
      <c r="Z32" s="257">
        <v>0.64307000000000003</v>
      </c>
      <c r="AA32" s="257">
        <v>0.35693000000000003</v>
      </c>
      <c r="AB32" s="228">
        <v>7.7210000000000001</v>
      </c>
      <c r="AC32" s="228">
        <v>0.12336</v>
      </c>
      <c r="AD32" s="228">
        <v>0.87663999999999997</v>
      </c>
      <c r="AE32" s="228">
        <v>0.95299999999999996</v>
      </c>
      <c r="AF32" s="233">
        <v>6664.12</v>
      </c>
      <c r="AG32" s="228">
        <v>1.1000000000000001</v>
      </c>
      <c r="AH32" s="228">
        <v>1.0043</v>
      </c>
      <c r="AI32" s="298">
        <v>8.7849999999999994E-3</v>
      </c>
      <c r="AJ32" s="298">
        <v>8.1379999999999994E-3</v>
      </c>
      <c r="AK32" s="298">
        <v>8.0850000000000002E-3</v>
      </c>
      <c r="AL32" s="228">
        <v>1.0488090000000001</v>
      </c>
    </row>
    <row r="33" spans="3:38" x14ac:dyDescent="0.2">
      <c r="C33" s="2">
        <v>45200</v>
      </c>
      <c r="D33" s="2" t="s">
        <v>135</v>
      </c>
      <c r="E33" s="276" t="s">
        <v>48</v>
      </c>
      <c r="F33" s="227">
        <v>546</v>
      </c>
      <c r="G33" s="256">
        <v>0.72697000000000001</v>
      </c>
      <c r="H33" s="256">
        <v>5.9339999999999997E-2</v>
      </c>
      <c r="I33" s="256">
        <v>0.21368999999999999</v>
      </c>
      <c r="J33" s="258">
        <v>72.837000000000003</v>
      </c>
      <c r="K33" s="256">
        <v>0.54988000000000004</v>
      </c>
      <c r="L33" s="256">
        <v>0.45012000000000002</v>
      </c>
      <c r="M33" s="258">
        <v>11.917999999999999</v>
      </c>
      <c r="N33" s="256">
        <v>0.15295</v>
      </c>
      <c r="O33" s="256">
        <v>0.84704999999999997</v>
      </c>
      <c r="P33" s="258">
        <v>1.107</v>
      </c>
      <c r="Q33" s="253">
        <v>7110.69</v>
      </c>
      <c r="R33" s="229">
        <v>1.1000000000000001</v>
      </c>
      <c r="S33" s="254">
        <v>1.0046999999999999</v>
      </c>
      <c r="T33" s="276" t="s">
        <v>56</v>
      </c>
      <c r="U33" s="258">
        <v>523.88</v>
      </c>
      <c r="V33" s="229">
        <v>0.73073999999999995</v>
      </c>
      <c r="W33" s="229">
        <v>5.9639999999999999E-2</v>
      </c>
      <c r="X33" s="229">
        <v>0.20962</v>
      </c>
      <c r="Y33" s="258">
        <v>67.846000000000004</v>
      </c>
      <c r="Z33" s="256">
        <v>0.64307000000000003</v>
      </c>
      <c r="AA33" s="256">
        <v>0.35693000000000003</v>
      </c>
      <c r="AB33" s="258">
        <v>7.7210000000000001</v>
      </c>
      <c r="AC33" s="229">
        <v>0.12336</v>
      </c>
      <c r="AD33" s="229">
        <v>0.87663999999999997</v>
      </c>
      <c r="AE33" s="258">
        <v>0.95299999999999996</v>
      </c>
      <c r="AF33" s="253">
        <v>6646.68</v>
      </c>
      <c r="AG33" s="229">
        <v>1.1000000000000001</v>
      </c>
      <c r="AH33" s="229">
        <v>1.0043</v>
      </c>
      <c r="AI33" s="299">
        <v>8.7849999999999994E-3</v>
      </c>
      <c r="AJ33" s="299">
        <v>8.1379999999999994E-3</v>
      </c>
      <c r="AK33" s="299">
        <v>8.0850000000000002E-3</v>
      </c>
      <c r="AL33" s="229">
        <v>1.0488090000000001</v>
      </c>
    </row>
    <row r="34" spans="3:38" x14ac:dyDescent="0.2">
      <c r="C34" s="38">
        <v>45231</v>
      </c>
      <c r="D34" s="38" t="s">
        <v>135</v>
      </c>
      <c r="E34" s="275" t="s">
        <v>48</v>
      </c>
      <c r="F34" s="233">
        <v>546</v>
      </c>
      <c r="G34" s="257">
        <v>0.72697000000000001</v>
      </c>
      <c r="H34" s="257">
        <v>5.9339999999999997E-2</v>
      </c>
      <c r="I34" s="257">
        <v>0.21368999999999999</v>
      </c>
      <c r="J34" s="228">
        <v>72.837000000000003</v>
      </c>
      <c r="K34" s="257">
        <v>0.54988000000000004</v>
      </c>
      <c r="L34" s="257">
        <v>0.45012000000000002</v>
      </c>
      <c r="M34" s="228">
        <v>11.917999999999999</v>
      </c>
      <c r="N34" s="257">
        <v>0.15295</v>
      </c>
      <c r="O34" s="257">
        <v>0.84704999999999997</v>
      </c>
      <c r="P34" s="228">
        <v>1.107</v>
      </c>
      <c r="Q34" s="233">
        <v>7110.69</v>
      </c>
      <c r="R34" s="228">
        <v>1.1000000000000001</v>
      </c>
      <c r="S34" s="255">
        <v>1.0046999999999999</v>
      </c>
      <c r="T34" s="275" t="s">
        <v>56</v>
      </c>
      <c r="U34" s="228">
        <v>523.88</v>
      </c>
      <c r="V34" s="228">
        <v>0.73073999999999995</v>
      </c>
      <c r="W34" s="228">
        <v>5.9639999999999999E-2</v>
      </c>
      <c r="X34" s="228">
        <v>0.20962</v>
      </c>
      <c r="Y34" s="228">
        <v>67.846000000000004</v>
      </c>
      <c r="Z34" s="257">
        <v>0.64307000000000003</v>
      </c>
      <c r="AA34" s="257">
        <v>0.35693000000000003</v>
      </c>
      <c r="AB34" s="228">
        <v>7.7210000000000001</v>
      </c>
      <c r="AC34" s="228">
        <v>0.12336</v>
      </c>
      <c r="AD34" s="228">
        <v>0.87663999999999997</v>
      </c>
      <c r="AE34" s="228">
        <v>0.95299999999999996</v>
      </c>
      <c r="AF34" s="233">
        <v>6646.68</v>
      </c>
      <c r="AG34" s="228">
        <v>1.1000000000000001</v>
      </c>
      <c r="AH34" s="228">
        <v>1.0043</v>
      </c>
      <c r="AI34" s="298">
        <v>8.7849999999999994E-3</v>
      </c>
      <c r="AJ34" s="298">
        <v>8.1379999999999994E-3</v>
      </c>
      <c r="AK34" s="298">
        <v>8.0850000000000002E-3</v>
      </c>
      <c r="AL34" s="228">
        <v>1.0488090000000001</v>
      </c>
    </row>
    <row r="35" spans="3:38" x14ac:dyDescent="0.2">
      <c r="C35" s="2">
        <v>45261</v>
      </c>
      <c r="D35" s="2" t="s">
        <v>135</v>
      </c>
      <c r="E35" s="276" t="s">
        <v>48</v>
      </c>
      <c r="F35" s="227">
        <v>546</v>
      </c>
      <c r="G35" s="256">
        <v>0.72697000000000001</v>
      </c>
      <c r="H35" s="256">
        <v>5.9339999999999997E-2</v>
      </c>
      <c r="I35" s="256">
        <v>0.21368999999999999</v>
      </c>
      <c r="J35" s="258">
        <v>72.837000000000003</v>
      </c>
      <c r="K35" s="256">
        <v>0.54988000000000004</v>
      </c>
      <c r="L35" s="256">
        <v>0.45012000000000002</v>
      </c>
      <c r="M35" s="258">
        <v>11.917999999999999</v>
      </c>
      <c r="N35" s="256">
        <v>0.15295</v>
      </c>
      <c r="O35" s="256">
        <v>0.84704999999999997</v>
      </c>
      <c r="P35" s="258">
        <v>1.107</v>
      </c>
      <c r="Q35" s="253">
        <v>7110.69</v>
      </c>
      <c r="R35" s="229">
        <v>1.1000000000000001</v>
      </c>
      <c r="S35" s="254">
        <v>1.0046999999999999</v>
      </c>
      <c r="T35" s="276" t="s">
        <v>56</v>
      </c>
      <c r="U35" s="258">
        <v>523.88</v>
      </c>
      <c r="V35" s="229">
        <v>0.73073999999999995</v>
      </c>
      <c r="W35" s="229">
        <v>5.9639999999999999E-2</v>
      </c>
      <c r="X35" s="229">
        <v>0.20962</v>
      </c>
      <c r="Y35" s="258">
        <v>67.846000000000004</v>
      </c>
      <c r="Z35" s="256">
        <v>0.64307000000000003</v>
      </c>
      <c r="AA35" s="256">
        <v>0.35693000000000003</v>
      </c>
      <c r="AB35" s="258">
        <v>7.7210000000000001</v>
      </c>
      <c r="AC35" s="229">
        <v>0.12336</v>
      </c>
      <c r="AD35" s="229">
        <v>0.87663999999999997</v>
      </c>
      <c r="AE35" s="258">
        <v>0.95299999999999996</v>
      </c>
      <c r="AF35" s="253">
        <v>6646.68</v>
      </c>
      <c r="AG35" s="229">
        <v>1.1000000000000001</v>
      </c>
      <c r="AH35" s="229">
        <v>1.0043</v>
      </c>
      <c r="AI35" s="299">
        <v>8.7849999999999994E-3</v>
      </c>
      <c r="AJ35" s="299">
        <v>8.1379999999999994E-3</v>
      </c>
      <c r="AK35" s="299">
        <v>8.0850000000000002E-3</v>
      </c>
      <c r="AL35" s="229">
        <v>1.0488090000000001</v>
      </c>
    </row>
    <row r="36" spans="3:38" x14ac:dyDescent="0.2">
      <c r="C36" s="38">
        <v>45292</v>
      </c>
      <c r="D36" s="38" t="s">
        <v>135</v>
      </c>
      <c r="E36" s="275" t="s">
        <v>48</v>
      </c>
      <c r="F36" s="233">
        <v>546</v>
      </c>
      <c r="G36" s="257">
        <v>0.72697000000000001</v>
      </c>
      <c r="H36" s="257">
        <v>5.9339999999999997E-2</v>
      </c>
      <c r="I36" s="257">
        <v>0.21368999999999999</v>
      </c>
      <c r="J36" s="228">
        <v>72.837000000000003</v>
      </c>
      <c r="K36" s="257">
        <v>0.54988000000000004</v>
      </c>
      <c r="L36" s="257">
        <v>0.45012000000000002</v>
      </c>
      <c r="M36" s="228">
        <v>11.917999999999999</v>
      </c>
      <c r="N36" s="257">
        <v>0.15295</v>
      </c>
      <c r="O36" s="257">
        <v>0.84704999999999997</v>
      </c>
      <c r="P36" s="228">
        <v>1.107</v>
      </c>
      <c r="Q36" s="233">
        <v>7110.69</v>
      </c>
      <c r="R36" s="228">
        <v>1.1000000000000001</v>
      </c>
      <c r="S36" s="255">
        <v>1.0046999999999999</v>
      </c>
      <c r="T36" s="275" t="s">
        <v>56</v>
      </c>
      <c r="U36" s="228">
        <v>523.88</v>
      </c>
      <c r="V36" s="228">
        <v>0.73073999999999995</v>
      </c>
      <c r="W36" s="228">
        <v>5.9639999999999999E-2</v>
      </c>
      <c r="X36" s="228">
        <v>0.20962</v>
      </c>
      <c r="Y36" s="228">
        <v>67.846000000000004</v>
      </c>
      <c r="Z36" s="257">
        <v>0.64307000000000003</v>
      </c>
      <c r="AA36" s="257">
        <v>0.35693000000000003</v>
      </c>
      <c r="AB36" s="228">
        <v>7.7210000000000001</v>
      </c>
      <c r="AC36" s="228">
        <v>0.12336</v>
      </c>
      <c r="AD36" s="228">
        <v>0.87663999999999997</v>
      </c>
      <c r="AE36" s="228">
        <v>0.95299999999999996</v>
      </c>
      <c r="AF36" s="233">
        <v>6646.68</v>
      </c>
      <c r="AG36" s="228">
        <v>1.1000000000000001</v>
      </c>
      <c r="AH36" s="228">
        <v>1.0043</v>
      </c>
      <c r="AI36" s="298">
        <v>8.7849999999999994E-3</v>
      </c>
      <c r="AJ36" s="298">
        <v>8.1379999999999994E-3</v>
      </c>
      <c r="AK36" s="298">
        <v>8.0850000000000002E-3</v>
      </c>
      <c r="AL36" s="228">
        <v>1.0488090000000001</v>
      </c>
    </row>
    <row r="37" spans="3:38" x14ac:dyDescent="0.2">
      <c r="C37" s="2">
        <v>45323</v>
      </c>
      <c r="D37" s="2" t="s">
        <v>135</v>
      </c>
      <c r="E37" s="276" t="s">
        <v>48</v>
      </c>
      <c r="F37" s="227">
        <v>546</v>
      </c>
      <c r="G37" s="256">
        <v>0.72697000000000001</v>
      </c>
      <c r="H37" s="256">
        <v>5.9339999999999997E-2</v>
      </c>
      <c r="I37" s="256">
        <v>0.21368999999999999</v>
      </c>
      <c r="J37" s="258">
        <v>72.837000000000003</v>
      </c>
      <c r="K37" s="256">
        <v>0.54988000000000004</v>
      </c>
      <c r="L37" s="256">
        <v>0.45012000000000002</v>
      </c>
      <c r="M37" s="258">
        <v>11.917999999999999</v>
      </c>
      <c r="N37" s="256">
        <v>0.15295</v>
      </c>
      <c r="O37" s="256">
        <v>0.84704999999999997</v>
      </c>
      <c r="P37" s="258">
        <v>1.107</v>
      </c>
      <c r="Q37" s="253">
        <v>7110.69</v>
      </c>
      <c r="R37" s="229">
        <v>1.1000000000000001</v>
      </c>
      <c r="S37" s="254">
        <v>1.0046999999999999</v>
      </c>
      <c r="T37" s="276" t="s">
        <v>56</v>
      </c>
      <c r="U37" s="258">
        <v>523.88</v>
      </c>
      <c r="V37" s="229">
        <v>0.73073999999999995</v>
      </c>
      <c r="W37" s="229">
        <v>5.9639999999999999E-2</v>
      </c>
      <c r="X37" s="229">
        <v>0.20962</v>
      </c>
      <c r="Y37" s="258">
        <v>67.846000000000004</v>
      </c>
      <c r="Z37" s="256">
        <v>0.64307000000000003</v>
      </c>
      <c r="AA37" s="256">
        <v>0.35693000000000003</v>
      </c>
      <c r="AB37" s="258">
        <v>7.7210000000000001</v>
      </c>
      <c r="AC37" s="229">
        <v>0.12336</v>
      </c>
      <c r="AD37" s="229">
        <v>0.87663999999999997</v>
      </c>
      <c r="AE37" s="258">
        <v>0.95299999999999996</v>
      </c>
      <c r="AF37" s="253">
        <v>6646.68</v>
      </c>
      <c r="AG37" s="229">
        <v>1.1000000000000001</v>
      </c>
      <c r="AH37" s="229">
        <v>1.0043</v>
      </c>
      <c r="AI37" s="299">
        <v>8.7849999999999994E-3</v>
      </c>
      <c r="AJ37" s="299">
        <v>8.1379999999999994E-3</v>
      </c>
      <c r="AK37" s="299">
        <v>8.0850000000000002E-3</v>
      </c>
      <c r="AL37" s="229">
        <v>1.0488090000000001</v>
      </c>
    </row>
    <row r="38" spans="3:38" x14ac:dyDescent="0.2">
      <c r="C38" s="38">
        <v>45352</v>
      </c>
      <c r="D38" s="38" t="s">
        <v>137</v>
      </c>
      <c r="E38" s="275" t="s">
        <v>48</v>
      </c>
      <c r="F38" s="233">
        <v>546</v>
      </c>
      <c r="G38" s="257">
        <v>0.72697000000000001</v>
      </c>
      <c r="H38" s="257">
        <v>5.9339999999999997E-2</v>
      </c>
      <c r="I38" s="257">
        <v>0.21368999999999999</v>
      </c>
      <c r="J38" s="228">
        <v>72.837000000000003</v>
      </c>
      <c r="K38" s="257">
        <v>0.54988000000000004</v>
      </c>
      <c r="L38" s="257">
        <v>0.45012000000000002</v>
      </c>
      <c r="M38" s="228">
        <v>11.917999999999999</v>
      </c>
      <c r="N38" s="257">
        <v>0.15295</v>
      </c>
      <c r="O38" s="257">
        <v>0.84704999999999997</v>
      </c>
      <c r="P38" s="228">
        <v>1.107</v>
      </c>
      <c r="Q38" s="233">
        <v>7962.71</v>
      </c>
      <c r="R38" s="228">
        <v>1.1000000000000001</v>
      </c>
      <c r="S38" s="255">
        <v>1.0046999999999999</v>
      </c>
      <c r="T38" s="275" t="s">
        <v>56</v>
      </c>
      <c r="U38" s="228">
        <v>523.88</v>
      </c>
      <c r="V38" s="228">
        <v>0.73073999999999995</v>
      </c>
      <c r="W38" s="228">
        <v>5.9639999999999999E-2</v>
      </c>
      <c r="X38" s="228">
        <v>0.20962</v>
      </c>
      <c r="Y38" s="228">
        <v>67.846000000000004</v>
      </c>
      <c r="Z38" s="257">
        <v>0.64307000000000003</v>
      </c>
      <c r="AA38" s="257">
        <v>0.35693000000000003</v>
      </c>
      <c r="AB38" s="228">
        <v>7.7210000000000001</v>
      </c>
      <c r="AC38" s="228">
        <v>0.12336</v>
      </c>
      <c r="AD38" s="228">
        <v>0.87663999999999997</v>
      </c>
      <c r="AE38" s="228">
        <v>0.95299999999999996</v>
      </c>
      <c r="AF38" s="233">
        <v>7467.85</v>
      </c>
      <c r="AG38" s="228">
        <v>1.1000000000000001</v>
      </c>
      <c r="AH38" s="228">
        <v>1.0043</v>
      </c>
      <c r="AI38" s="298">
        <v>8.7849999999999994E-3</v>
      </c>
      <c r="AJ38" s="298">
        <v>8.1379999999999994E-3</v>
      </c>
      <c r="AK38" s="298">
        <v>8.0850000000000002E-3</v>
      </c>
      <c r="AL38" s="228">
        <v>1.0488090000000001</v>
      </c>
    </row>
    <row r="39" spans="3:38" x14ac:dyDescent="0.2">
      <c r="C39" s="2">
        <v>45383</v>
      </c>
      <c r="D39" s="2" t="s">
        <v>138</v>
      </c>
      <c r="E39" s="276" t="s">
        <v>48</v>
      </c>
      <c r="F39" s="227">
        <v>546</v>
      </c>
      <c r="G39" s="256">
        <v>0.72697000000000001</v>
      </c>
      <c r="H39" s="256">
        <v>5.9339999999999997E-2</v>
      </c>
      <c r="I39" s="256">
        <v>0.21368999999999999</v>
      </c>
      <c r="J39" s="258">
        <v>72.837000000000003</v>
      </c>
      <c r="K39" s="256">
        <v>0.54988000000000004</v>
      </c>
      <c r="L39" s="256">
        <v>0.45012000000000002</v>
      </c>
      <c r="M39" s="258">
        <v>11.917999999999999</v>
      </c>
      <c r="N39" s="256">
        <v>0.15295</v>
      </c>
      <c r="O39" s="256">
        <v>0.84704999999999997</v>
      </c>
      <c r="P39" s="258">
        <v>1.107</v>
      </c>
      <c r="Q39" s="253">
        <v>7793.57</v>
      </c>
      <c r="R39" s="229">
        <v>1.1000000000000001</v>
      </c>
      <c r="S39" s="254">
        <v>1.0046999999999999</v>
      </c>
      <c r="T39" s="276" t="s">
        <v>56</v>
      </c>
      <c r="U39" s="258">
        <v>523.88</v>
      </c>
      <c r="V39" s="229">
        <v>0.73073999999999995</v>
      </c>
      <c r="W39" s="229">
        <v>5.9639999999999999E-2</v>
      </c>
      <c r="X39" s="229">
        <v>0.20962</v>
      </c>
      <c r="Y39" s="258">
        <v>67.846000000000004</v>
      </c>
      <c r="Z39" s="256">
        <v>0.64307000000000003</v>
      </c>
      <c r="AA39" s="256">
        <v>0.35693000000000003</v>
      </c>
      <c r="AB39" s="258">
        <v>7.7210000000000001</v>
      </c>
      <c r="AC39" s="229">
        <v>0.12336</v>
      </c>
      <c r="AD39" s="229">
        <v>0.87663999999999997</v>
      </c>
      <c r="AE39" s="258">
        <v>0.95299999999999996</v>
      </c>
      <c r="AF39" s="253">
        <v>7303.36</v>
      </c>
      <c r="AG39" s="229">
        <v>1.1000000000000001</v>
      </c>
      <c r="AH39" s="229">
        <v>1.0043</v>
      </c>
      <c r="AI39" s="299">
        <v>8.7849999999999994E-3</v>
      </c>
      <c r="AJ39" s="299">
        <v>8.1379999999999994E-3</v>
      </c>
      <c r="AK39" s="299">
        <v>8.0850000000000002E-3</v>
      </c>
      <c r="AL39" s="229">
        <v>1.0488090000000001</v>
      </c>
    </row>
    <row r="40" spans="3:38" x14ac:dyDescent="0.2">
      <c r="C40" s="38">
        <v>45413</v>
      </c>
      <c r="D40" s="38" t="s">
        <v>138</v>
      </c>
      <c r="E40" s="275" t="s">
        <v>48</v>
      </c>
      <c r="F40" s="233">
        <v>546</v>
      </c>
      <c r="G40" s="257">
        <v>0.72697000000000001</v>
      </c>
      <c r="H40" s="257">
        <v>5.9339999999999997E-2</v>
      </c>
      <c r="I40" s="257">
        <v>0.21368999999999999</v>
      </c>
      <c r="J40" s="228">
        <v>72.837000000000003</v>
      </c>
      <c r="K40" s="257">
        <v>0.54988000000000004</v>
      </c>
      <c r="L40" s="257">
        <v>0.45012000000000002</v>
      </c>
      <c r="M40" s="228">
        <v>11.917999999999999</v>
      </c>
      <c r="N40" s="257">
        <v>0.15295</v>
      </c>
      <c r="O40" s="257">
        <v>0.84704999999999997</v>
      </c>
      <c r="P40" s="228">
        <v>1.107</v>
      </c>
      <c r="Q40" s="233">
        <v>7793.57</v>
      </c>
      <c r="R40" s="228">
        <v>1.1000000000000001</v>
      </c>
      <c r="S40" s="255">
        <v>1.0046999999999999</v>
      </c>
      <c r="T40" s="275" t="s">
        <v>56</v>
      </c>
      <c r="U40" s="228">
        <v>523.88</v>
      </c>
      <c r="V40" s="228">
        <v>0.73073999999999995</v>
      </c>
      <c r="W40" s="228">
        <v>5.9639999999999999E-2</v>
      </c>
      <c r="X40" s="228">
        <v>0.20962</v>
      </c>
      <c r="Y40" s="228">
        <v>67.846000000000004</v>
      </c>
      <c r="Z40" s="257">
        <v>0.64307000000000003</v>
      </c>
      <c r="AA40" s="257">
        <v>0.35693000000000003</v>
      </c>
      <c r="AB40" s="228">
        <v>7.7210000000000001</v>
      </c>
      <c r="AC40" s="228">
        <v>0.12336</v>
      </c>
      <c r="AD40" s="228">
        <v>0.87663999999999997</v>
      </c>
      <c r="AE40" s="228">
        <v>0.95299999999999996</v>
      </c>
      <c r="AF40" s="233">
        <v>7303.36</v>
      </c>
      <c r="AG40" s="228">
        <v>1.1000000000000001</v>
      </c>
      <c r="AH40" s="228">
        <v>1.0043</v>
      </c>
      <c r="AI40" s="298">
        <v>8.7849999999999994E-3</v>
      </c>
      <c r="AJ40" s="298">
        <v>8.1379999999999994E-3</v>
      </c>
      <c r="AK40" s="298">
        <v>8.0850000000000002E-3</v>
      </c>
      <c r="AL40" s="228">
        <v>1.0488090000000001</v>
      </c>
    </row>
    <row r="41" spans="3:38" x14ac:dyDescent="0.2">
      <c r="C41" s="2">
        <v>45444</v>
      </c>
      <c r="D41" s="2" t="s">
        <v>138</v>
      </c>
      <c r="E41" s="276" t="s">
        <v>48</v>
      </c>
      <c r="F41" s="227">
        <v>546</v>
      </c>
      <c r="G41" s="256">
        <v>0.72697000000000001</v>
      </c>
      <c r="H41" s="256">
        <v>5.9339999999999997E-2</v>
      </c>
      <c r="I41" s="256">
        <v>0.21368999999999999</v>
      </c>
      <c r="J41" s="258">
        <v>72.837000000000003</v>
      </c>
      <c r="K41" s="256">
        <v>0.54988000000000004</v>
      </c>
      <c r="L41" s="256">
        <v>0.45012000000000002</v>
      </c>
      <c r="M41" s="258">
        <v>11.917999999999999</v>
      </c>
      <c r="N41" s="256">
        <v>0.15295</v>
      </c>
      <c r="O41" s="256">
        <v>0.84704999999999997</v>
      </c>
      <c r="P41" s="258">
        <v>1.107</v>
      </c>
      <c r="Q41" s="253">
        <v>7793.57</v>
      </c>
      <c r="R41" s="229">
        <v>1.1000000000000001</v>
      </c>
      <c r="S41" s="254">
        <v>1.0046999999999999</v>
      </c>
      <c r="T41" s="276" t="s">
        <v>56</v>
      </c>
      <c r="U41" s="258">
        <v>523.88</v>
      </c>
      <c r="V41" s="229">
        <v>0.73073999999999995</v>
      </c>
      <c r="W41" s="229">
        <v>5.9639999999999999E-2</v>
      </c>
      <c r="X41" s="229">
        <v>0.20962</v>
      </c>
      <c r="Y41" s="258">
        <v>67.846000000000004</v>
      </c>
      <c r="Z41" s="256">
        <v>0.64307000000000003</v>
      </c>
      <c r="AA41" s="256">
        <v>0.35693000000000003</v>
      </c>
      <c r="AB41" s="258">
        <v>7.7210000000000001</v>
      </c>
      <c r="AC41" s="229">
        <v>0.12336</v>
      </c>
      <c r="AD41" s="229">
        <v>0.87663999999999997</v>
      </c>
      <c r="AE41" s="258">
        <v>0.95299999999999996</v>
      </c>
      <c r="AF41" s="253">
        <v>7303.36</v>
      </c>
      <c r="AG41" s="229">
        <v>1.1000000000000001</v>
      </c>
      <c r="AH41" s="229">
        <v>1.0043</v>
      </c>
      <c r="AI41" s="299">
        <v>8.7849999999999994E-3</v>
      </c>
      <c r="AJ41" s="299">
        <v>8.1379999999999994E-3</v>
      </c>
      <c r="AK41" s="299">
        <v>8.0850000000000002E-3</v>
      </c>
      <c r="AL41" s="229">
        <v>1.0488090000000001</v>
      </c>
    </row>
    <row r="42" spans="3:38" x14ac:dyDescent="0.2">
      <c r="C42" s="38">
        <v>45474</v>
      </c>
      <c r="D42" s="38" t="s">
        <v>138</v>
      </c>
      <c r="E42" s="275" t="s">
        <v>48</v>
      </c>
      <c r="F42" s="233">
        <v>546</v>
      </c>
      <c r="G42" s="257">
        <v>0.72697000000000001</v>
      </c>
      <c r="H42" s="257">
        <v>5.9339999999999997E-2</v>
      </c>
      <c r="I42" s="257">
        <v>0.21368999999999999</v>
      </c>
      <c r="J42" s="228">
        <v>72.837000000000003</v>
      </c>
      <c r="K42" s="257">
        <v>0.54988000000000004</v>
      </c>
      <c r="L42" s="257">
        <v>0.45012000000000002</v>
      </c>
      <c r="M42" s="228">
        <v>11.917999999999999</v>
      </c>
      <c r="N42" s="257">
        <v>0.15295</v>
      </c>
      <c r="O42" s="257">
        <v>0.84704999999999997</v>
      </c>
      <c r="P42" s="228">
        <v>1.107</v>
      </c>
      <c r="Q42" s="233">
        <v>7793.57</v>
      </c>
      <c r="R42" s="228">
        <v>1.1000000000000001</v>
      </c>
      <c r="S42" s="255">
        <v>1.0046999999999999</v>
      </c>
      <c r="T42" s="275" t="s">
        <v>56</v>
      </c>
      <c r="U42" s="228">
        <v>523.88</v>
      </c>
      <c r="V42" s="228">
        <v>0.73073999999999995</v>
      </c>
      <c r="W42" s="228">
        <v>5.9639999999999999E-2</v>
      </c>
      <c r="X42" s="228">
        <v>0.20962</v>
      </c>
      <c r="Y42" s="228">
        <v>67.846000000000004</v>
      </c>
      <c r="Z42" s="257">
        <v>0.64307000000000003</v>
      </c>
      <c r="AA42" s="257">
        <v>0.35693000000000003</v>
      </c>
      <c r="AB42" s="228">
        <v>7.7210000000000001</v>
      </c>
      <c r="AC42" s="228">
        <v>0.12336</v>
      </c>
      <c r="AD42" s="228">
        <v>0.87663999999999997</v>
      </c>
      <c r="AE42" s="228">
        <v>0.95299999999999996</v>
      </c>
      <c r="AF42" s="233">
        <v>7303.36</v>
      </c>
      <c r="AG42" s="228">
        <v>1.1000000000000001</v>
      </c>
      <c r="AH42" s="228">
        <v>1.0043</v>
      </c>
      <c r="AI42" s="298">
        <v>8.7849999999999994E-3</v>
      </c>
      <c r="AJ42" s="298">
        <v>8.1379999999999994E-3</v>
      </c>
      <c r="AK42" s="298">
        <v>8.0850000000000002E-3</v>
      </c>
      <c r="AL42" s="228">
        <v>1.0488090000000001</v>
      </c>
    </row>
    <row r="43" spans="3:38" x14ac:dyDescent="0.2">
      <c r="C43" s="2">
        <v>45505</v>
      </c>
      <c r="D43" s="2" t="s">
        <v>138</v>
      </c>
      <c r="E43" s="276" t="s">
        <v>48</v>
      </c>
      <c r="F43" s="227">
        <v>546</v>
      </c>
      <c r="G43" s="256">
        <v>0.72697000000000001</v>
      </c>
      <c r="H43" s="256">
        <v>5.9339999999999997E-2</v>
      </c>
      <c r="I43" s="256">
        <v>0.21368999999999999</v>
      </c>
      <c r="J43" s="258">
        <v>72.837000000000003</v>
      </c>
      <c r="K43" s="256">
        <v>0.54988000000000004</v>
      </c>
      <c r="L43" s="256">
        <v>0.45012000000000002</v>
      </c>
      <c r="M43" s="258">
        <v>11.917999999999999</v>
      </c>
      <c r="N43" s="256">
        <v>0.15295</v>
      </c>
      <c r="O43" s="256">
        <v>0.84704999999999997</v>
      </c>
      <c r="P43" s="258">
        <v>1.107</v>
      </c>
      <c r="Q43" s="253">
        <v>7793.57</v>
      </c>
      <c r="R43" s="229">
        <v>1.1000000000000001</v>
      </c>
      <c r="S43" s="254">
        <v>1.0046999999999999</v>
      </c>
      <c r="T43" s="276" t="s">
        <v>56</v>
      </c>
      <c r="U43" s="258">
        <v>523.88</v>
      </c>
      <c r="V43" s="229">
        <v>0.73073999999999995</v>
      </c>
      <c r="W43" s="229">
        <v>5.9639999999999999E-2</v>
      </c>
      <c r="X43" s="229">
        <v>0.20962</v>
      </c>
      <c r="Y43" s="258">
        <v>67.846000000000004</v>
      </c>
      <c r="Z43" s="256">
        <v>0.64307000000000003</v>
      </c>
      <c r="AA43" s="256">
        <v>0.35693000000000003</v>
      </c>
      <c r="AB43" s="258">
        <v>7.7210000000000001</v>
      </c>
      <c r="AC43" s="229">
        <v>0.12336</v>
      </c>
      <c r="AD43" s="229">
        <v>0.87663999999999997</v>
      </c>
      <c r="AE43" s="258">
        <v>0.95299999999999996</v>
      </c>
      <c r="AF43" s="253">
        <v>7303.36</v>
      </c>
      <c r="AG43" s="229">
        <v>1.1000000000000001</v>
      </c>
      <c r="AH43" s="229">
        <v>1.0043</v>
      </c>
      <c r="AI43" s="299">
        <v>8.7849999999999994E-3</v>
      </c>
      <c r="AJ43" s="299">
        <v>8.1379999999999994E-3</v>
      </c>
      <c r="AK43" s="299">
        <v>8.0850000000000002E-3</v>
      </c>
      <c r="AL43" s="229">
        <v>1.0488090000000001</v>
      </c>
    </row>
    <row r="44" spans="3:38" x14ac:dyDescent="0.2">
      <c r="C44" s="38">
        <v>45536</v>
      </c>
      <c r="D44" s="38" t="s">
        <v>138</v>
      </c>
      <c r="E44" s="275" t="s">
        <v>48</v>
      </c>
      <c r="F44" s="233">
        <v>546</v>
      </c>
      <c r="G44" s="257">
        <v>0.72697000000000001</v>
      </c>
      <c r="H44" s="257">
        <v>5.9339999999999997E-2</v>
      </c>
      <c r="I44" s="257">
        <v>0.21368999999999999</v>
      </c>
      <c r="J44" s="228">
        <v>72.837000000000003</v>
      </c>
      <c r="K44" s="257">
        <v>0.54988000000000004</v>
      </c>
      <c r="L44" s="257">
        <v>0.45012000000000002</v>
      </c>
      <c r="M44" s="228">
        <v>11.917999999999999</v>
      </c>
      <c r="N44" s="257">
        <v>0.15295</v>
      </c>
      <c r="O44" s="257">
        <v>0.84704999999999997</v>
      </c>
      <c r="P44" s="228">
        <v>1.107</v>
      </c>
      <c r="Q44" s="233">
        <v>7793.57</v>
      </c>
      <c r="R44" s="228">
        <v>1.1000000000000001</v>
      </c>
      <c r="S44" s="255">
        <v>1.0046999999999999</v>
      </c>
      <c r="T44" s="275" t="s">
        <v>56</v>
      </c>
      <c r="U44" s="228">
        <v>523.88</v>
      </c>
      <c r="V44" s="228">
        <v>0.73073999999999995</v>
      </c>
      <c r="W44" s="228">
        <v>5.9639999999999999E-2</v>
      </c>
      <c r="X44" s="228">
        <v>0.20962</v>
      </c>
      <c r="Y44" s="228">
        <v>67.846000000000004</v>
      </c>
      <c r="Z44" s="257">
        <v>0.64307000000000003</v>
      </c>
      <c r="AA44" s="257">
        <v>0.35693000000000003</v>
      </c>
      <c r="AB44" s="228">
        <v>7.7210000000000001</v>
      </c>
      <c r="AC44" s="228">
        <v>0.12336</v>
      </c>
      <c r="AD44" s="228">
        <v>0.87663999999999997</v>
      </c>
      <c r="AE44" s="228">
        <v>0.95299999999999996</v>
      </c>
      <c r="AF44" s="233">
        <v>7303.36</v>
      </c>
      <c r="AG44" s="228">
        <v>1.1000000000000001</v>
      </c>
      <c r="AH44" s="228">
        <v>1.0043</v>
      </c>
      <c r="AI44" s="298">
        <v>8.7849999999999994E-3</v>
      </c>
      <c r="AJ44" s="298">
        <v>8.1379999999999994E-3</v>
      </c>
      <c r="AK44" s="298">
        <v>8.0850000000000002E-3</v>
      </c>
      <c r="AL44" s="228">
        <v>1.0488090000000001</v>
      </c>
    </row>
    <row r="45" spans="3:38" x14ac:dyDescent="0.2">
      <c r="C45" s="2">
        <v>45566</v>
      </c>
      <c r="D45" s="2" t="s">
        <v>140</v>
      </c>
      <c r="E45" s="276" t="s">
        <v>48</v>
      </c>
      <c r="F45" s="227">
        <v>546</v>
      </c>
      <c r="G45" s="256">
        <v>0.72697000000000001</v>
      </c>
      <c r="H45" s="256">
        <v>5.9339999999999997E-2</v>
      </c>
      <c r="I45" s="256">
        <v>0.21368999999999999</v>
      </c>
      <c r="J45" s="258">
        <v>72.837000000000003</v>
      </c>
      <c r="K45" s="256">
        <v>0.54988000000000004</v>
      </c>
      <c r="L45" s="256">
        <v>0.45012000000000002</v>
      </c>
      <c r="M45" s="258">
        <v>11.917999999999999</v>
      </c>
      <c r="N45" s="256">
        <v>0.15295</v>
      </c>
      <c r="O45" s="256">
        <v>0.84704999999999997</v>
      </c>
      <c r="P45" s="258">
        <v>1.107</v>
      </c>
      <c r="Q45" s="253">
        <v>8095.98</v>
      </c>
      <c r="R45" s="229">
        <v>1.1000000000000001</v>
      </c>
      <c r="S45" s="254">
        <v>1.0046999999999999</v>
      </c>
      <c r="T45" s="276" t="s">
        <v>56</v>
      </c>
      <c r="U45" s="258">
        <v>523.88</v>
      </c>
      <c r="V45" s="229">
        <v>0.73073999999999995</v>
      </c>
      <c r="W45" s="229">
        <v>5.9639999999999999E-2</v>
      </c>
      <c r="X45" s="229">
        <v>0.20962</v>
      </c>
      <c r="Y45" s="258">
        <v>67.846000000000004</v>
      </c>
      <c r="Z45" s="256">
        <v>0.64307000000000003</v>
      </c>
      <c r="AA45" s="256">
        <v>0.35693000000000003</v>
      </c>
      <c r="AB45" s="258">
        <v>7.7210000000000001</v>
      </c>
      <c r="AC45" s="229">
        <v>0.12336</v>
      </c>
      <c r="AD45" s="229">
        <v>0.87663999999999997</v>
      </c>
      <c r="AE45" s="258">
        <v>0.95299999999999996</v>
      </c>
      <c r="AF45" s="253">
        <v>7590.87</v>
      </c>
      <c r="AG45" s="229">
        <v>1.1000000000000001</v>
      </c>
      <c r="AH45" s="229">
        <v>1.0043</v>
      </c>
      <c r="AI45" s="299">
        <v>8.7849999999999994E-3</v>
      </c>
      <c r="AJ45" s="299">
        <v>8.1379999999999994E-3</v>
      </c>
      <c r="AK45" s="299">
        <v>8.0850000000000002E-3</v>
      </c>
      <c r="AL45" s="229">
        <v>1.0488090000000001</v>
      </c>
    </row>
    <row r="46" spans="3:38" x14ac:dyDescent="0.2">
      <c r="C46" s="38">
        <v>45597</v>
      </c>
      <c r="D46" s="38" t="s">
        <v>140</v>
      </c>
      <c r="E46" s="275" t="s">
        <v>48</v>
      </c>
      <c r="F46" s="233">
        <v>546</v>
      </c>
      <c r="G46" s="257">
        <v>0.72697000000000001</v>
      </c>
      <c r="H46" s="257">
        <v>5.9339999999999997E-2</v>
      </c>
      <c r="I46" s="257">
        <v>0.21368999999999999</v>
      </c>
      <c r="J46" s="228">
        <v>72.837000000000003</v>
      </c>
      <c r="K46" s="257">
        <v>0.54988000000000004</v>
      </c>
      <c r="L46" s="257">
        <v>0.45012000000000002</v>
      </c>
      <c r="M46" s="228">
        <v>11.917999999999999</v>
      </c>
      <c r="N46" s="257">
        <v>0.15295</v>
      </c>
      <c r="O46" s="257">
        <v>0.84704999999999997</v>
      </c>
      <c r="P46" s="228">
        <v>1.107</v>
      </c>
      <c r="Q46" s="233">
        <v>8095.98</v>
      </c>
      <c r="R46" s="228">
        <v>1.1000000000000001</v>
      </c>
      <c r="S46" s="255">
        <v>1.0046999999999999</v>
      </c>
      <c r="T46" s="275" t="s">
        <v>56</v>
      </c>
      <c r="U46" s="228">
        <v>523.88</v>
      </c>
      <c r="V46" s="228">
        <v>0.73073999999999995</v>
      </c>
      <c r="W46" s="228">
        <v>5.9639999999999999E-2</v>
      </c>
      <c r="X46" s="228">
        <v>0.20962</v>
      </c>
      <c r="Y46" s="228">
        <v>67.846000000000004</v>
      </c>
      <c r="Z46" s="257">
        <v>0.64307000000000003</v>
      </c>
      <c r="AA46" s="257">
        <v>0.35693000000000003</v>
      </c>
      <c r="AB46" s="228">
        <v>7.7210000000000001</v>
      </c>
      <c r="AC46" s="228">
        <v>0.12336</v>
      </c>
      <c r="AD46" s="228">
        <v>0.87663999999999997</v>
      </c>
      <c r="AE46" s="228">
        <v>0.95299999999999996</v>
      </c>
      <c r="AF46" s="233">
        <v>7590.87</v>
      </c>
      <c r="AG46" s="228">
        <v>1.1000000000000001</v>
      </c>
      <c r="AH46" s="228">
        <v>1.0043</v>
      </c>
      <c r="AI46" s="298">
        <v>8.7849999999999994E-3</v>
      </c>
      <c r="AJ46" s="298">
        <v>8.1379999999999994E-3</v>
      </c>
      <c r="AK46" s="298">
        <v>8.0850000000000002E-3</v>
      </c>
      <c r="AL46" s="228">
        <v>1.0488090000000001</v>
      </c>
    </row>
    <row r="47" spans="3:38" x14ac:dyDescent="0.2">
      <c r="C47" s="2">
        <v>45627</v>
      </c>
      <c r="D47" s="2" t="s">
        <v>140</v>
      </c>
      <c r="E47" s="276" t="s">
        <v>48</v>
      </c>
      <c r="F47" s="227">
        <v>546</v>
      </c>
      <c r="G47" s="256">
        <v>0.72697000000000001</v>
      </c>
      <c r="H47" s="256">
        <v>5.9339999999999997E-2</v>
      </c>
      <c r="I47" s="256">
        <v>0.21368999999999999</v>
      </c>
      <c r="J47" s="258">
        <v>72.837000000000003</v>
      </c>
      <c r="K47" s="256">
        <v>0.54988000000000004</v>
      </c>
      <c r="L47" s="256">
        <v>0.45012000000000002</v>
      </c>
      <c r="M47" s="258">
        <v>11.917999999999999</v>
      </c>
      <c r="N47" s="256">
        <v>0.15295</v>
      </c>
      <c r="O47" s="256">
        <v>0.84704999999999997</v>
      </c>
      <c r="P47" s="258">
        <v>1.107</v>
      </c>
      <c r="Q47" s="253">
        <v>8095.98</v>
      </c>
      <c r="R47" s="229">
        <v>1.1000000000000001</v>
      </c>
      <c r="S47" s="254">
        <v>1.0046999999999999</v>
      </c>
      <c r="T47" s="276" t="s">
        <v>56</v>
      </c>
      <c r="U47" s="258">
        <v>523.88</v>
      </c>
      <c r="V47" s="229">
        <v>0.73073999999999995</v>
      </c>
      <c r="W47" s="229">
        <v>5.9639999999999999E-2</v>
      </c>
      <c r="X47" s="229">
        <v>0.20962</v>
      </c>
      <c r="Y47" s="258">
        <v>67.846000000000004</v>
      </c>
      <c r="Z47" s="256">
        <v>0.64307000000000003</v>
      </c>
      <c r="AA47" s="256">
        <v>0.35693000000000003</v>
      </c>
      <c r="AB47" s="258">
        <v>7.7210000000000001</v>
      </c>
      <c r="AC47" s="229">
        <v>0.12336</v>
      </c>
      <c r="AD47" s="229">
        <v>0.87663999999999997</v>
      </c>
      <c r="AE47" s="258">
        <v>0.95299999999999996</v>
      </c>
      <c r="AF47" s="253">
        <v>7590.87</v>
      </c>
      <c r="AG47" s="229">
        <v>1.1000000000000001</v>
      </c>
      <c r="AH47" s="229">
        <v>1.0043</v>
      </c>
      <c r="AI47" s="299">
        <v>8.7849999999999994E-3</v>
      </c>
      <c r="AJ47" s="299">
        <v>8.1379999999999994E-3</v>
      </c>
      <c r="AK47" s="299">
        <v>8.0850000000000002E-3</v>
      </c>
      <c r="AL47" s="229">
        <v>1.0488090000000001</v>
      </c>
    </row>
    <row r="48" spans="3:38" x14ac:dyDescent="0.2">
      <c r="C48" s="38">
        <v>45658</v>
      </c>
      <c r="D48" s="38" t="s">
        <v>140</v>
      </c>
      <c r="E48" s="275" t="s">
        <v>48</v>
      </c>
      <c r="F48" s="233">
        <v>546</v>
      </c>
      <c r="G48" s="257">
        <v>0.72697000000000001</v>
      </c>
      <c r="H48" s="257">
        <v>5.9339999999999997E-2</v>
      </c>
      <c r="I48" s="257">
        <v>0.21368999999999999</v>
      </c>
      <c r="J48" s="228">
        <v>72.837000000000003</v>
      </c>
      <c r="K48" s="257">
        <v>0.54988000000000004</v>
      </c>
      <c r="L48" s="257">
        <v>0.45012000000000002</v>
      </c>
      <c r="M48" s="228">
        <v>11.917999999999999</v>
      </c>
      <c r="N48" s="257">
        <v>0.15295</v>
      </c>
      <c r="O48" s="257">
        <v>0.84704999999999997</v>
      </c>
      <c r="P48" s="228">
        <v>1.107</v>
      </c>
      <c r="Q48" s="233">
        <v>8095.98</v>
      </c>
      <c r="R48" s="228">
        <v>1.1000000000000001</v>
      </c>
      <c r="S48" s="255">
        <v>1.0046999999999999</v>
      </c>
      <c r="T48" s="275" t="s">
        <v>56</v>
      </c>
      <c r="U48" s="228">
        <v>523.88</v>
      </c>
      <c r="V48" s="228">
        <v>0.73073999999999995</v>
      </c>
      <c r="W48" s="228">
        <v>5.9639999999999999E-2</v>
      </c>
      <c r="X48" s="228">
        <v>0.20962</v>
      </c>
      <c r="Y48" s="228">
        <v>67.846000000000004</v>
      </c>
      <c r="Z48" s="257">
        <v>0.64307000000000003</v>
      </c>
      <c r="AA48" s="257">
        <v>0.35693000000000003</v>
      </c>
      <c r="AB48" s="228">
        <v>7.7210000000000001</v>
      </c>
      <c r="AC48" s="228">
        <v>0.12336</v>
      </c>
      <c r="AD48" s="228">
        <v>0.87663999999999997</v>
      </c>
      <c r="AE48" s="228">
        <v>0.95299999999999996</v>
      </c>
      <c r="AF48" s="233">
        <v>7590.87</v>
      </c>
      <c r="AG48" s="228">
        <v>1.1000000000000001</v>
      </c>
      <c r="AH48" s="228">
        <v>1.0043</v>
      </c>
      <c r="AI48" s="298">
        <v>8.7849999999999994E-3</v>
      </c>
      <c r="AJ48" s="298">
        <v>8.1379999999999994E-3</v>
      </c>
      <c r="AK48" s="298">
        <v>8.0850000000000002E-3</v>
      </c>
      <c r="AL48" s="228">
        <v>1.0488090000000001</v>
      </c>
    </row>
    <row r="49" spans="3:38" x14ac:dyDescent="0.2">
      <c r="C49" s="2">
        <v>45689</v>
      </c>
      <c r="D49" s="2" t="s">
        <v>140</v>
      </c>
      <c r="E49" s="276" t="s">
        <v>48</v>
      </c>
      <c r="F49" s="227">
        <v>546</v>
      </c>
      <c r="G49" s="256">
        <v>0.72697000000000001</v>
      </c>
      <c r="H49" s="256">
        <v>5.9339999999999997E-2</v>
      </c>
      <c r="I49" s="256">
        <v>0.21368999999999999</v>
      </c>
      <c r="J49" s="258">
        <v>72.837000000000003</v>
      </c>
      <c r="K49" s="256">
        <v>0.54988000000000004</v>
      </c>
      <c r="L49" s="256">
        <v>0.45012000000000002</v>
      </c>
      <c r="M49" s="258">
        <v>11.917999999999999</v>
      </c>
      <c r="N49" s="256">
        <v>0.15295</v>
      </c>
      <c r="O49" s="256">
        <v>0.84704999999999997</v>
      </c>
      <c r="P49" s="258">
        <v>1.107</v>
      </c>
      <c r="Q49" s="253">
        <v>8095.98</v>
      </c>
      <c r="R49" s="229">
        <v>1.1000000000000001</v>
      </c>
      <c r="S49" s="254">
        <v>1.0046999999999999</v>
      </c>
      <c r="T49" s="276" t="s">
        <v>56</v>
      </c>
      <c r="U49" s="258">
        <v>523.88</v>
      </c>
      <c r="V49" s="229">
        <v>0.73073999999999995</v>
      </c>
      <c r="W49" s="229">
        <v>5.9639999999999999E-2</v>
      </c>
      <c r="X49" s="229">
        <v>0.20962</v>
      </c>
      <c r="Y49" s="258">
        <v>67.846000000000004</v>
      </c>
      <c r="Z49" s="256">
        <v>0.64307000000000003</v>
      </c>
      <c r="AA49" s="256">
        <v>0.35693000000000003</v>
      </c>
      <c r="AB49" s="258">
        <v>7.7210000000000001</v>
      </c>
      <c r="AC49" s="229">
        <v>0.12336</v>
      </c>
      <c r="AD49" s="229">
        <v>0.87663999999999997</v>
      </c>
      <c r="AE49" s="258">
        <v>0.95299999999999996</v>
      </c>
      <c r="AF49" s="253">
        <v>7590.87</v>
      </c>
      <c r="AG49" s="229">
        <v>1.1000000000000001</v>
      </c>
      <c r="AH49" s="229">
        <v>1.0043</v>
      </c>
      <c r="AI49" s="299">
        <v>8.7849999999999994E-3</v>
      </c>
      <c r="AJ49" s="299">
        <v>8.1379999999999994E-3</v>
      </c>
      <c r="AK49" s="299">
        <v>8.0850000000000002E-3</v>
      </c>
      <c r="AL49" s="229">
        <v>1.0488090000000001</v>
      </c>
    </row>
    <row r="50" spans="3:38" x14ac:dyDescent="0.2">
      <c r="C50" s="38">
        <v>45717</v>
      </c>
      <c r="D50" s="38" t="s">
        <v>140</v>
      </c>
      <c r="E50" s="275" t="s">
        <v>48</v>
      </c>
      <c r="F50" s="233">
        <v>546</v>
      </c>
      <c r="G50" s="257">
        <v>0.72697000000000001</v>
      </c>
      <c r="H50" s="257">
        <v>5.9339999999999997E-2</v>
      </c>
      <c r="I50" s="257">
        <v>0.21368999999999999</v>
      </c>
      <c r="J50" s="228">
        <v>72.837000000000003</v>
      </c>
      <c r="K50" s="257">
        <v>0.54988000000000004</v>
      </c>
      <c r="L50" s="257">
        <v>0.45012000000000002</v>
      </c>
      <c r="M50" s="228">
        <v>11.917999999999999</v>
      </c>
      <c r="N50" s="257">
        <v>0.15295</v>
      </c>
      <c r="O50" s="257">
        <v>0.84704999999999997</v>
      </c>
      <c r="P50" s="228">
        <v>1.107</v>
      </c>
      <c r="Q50" s="233">
        <v>8095.98</v>
      </c>
      <c r="R50" s="228">
        <v>1.1000000000000001</v>
      </c>
      <c r="S50" s="255">
        <v>1.0046999999999999</v>
      </c>
      <c r="T50" s="275" t="s">
        <v>56</v>
      </c>
      <c r="U50" s="228">
        <v>523.88</v>
      </c>
      <c r="V50" s="228">
        <v>0.73073999999999995</v>
      </c>
      <c r="W50" s="228">
        <v>5.9639999999999999E-2</v>
      </c>
      <c r="X50" s="228">
        <v>0.20962</v>
      </c>
      <c r="Y50" s="228">
        <v>67.846000000000004</v>
      </c>
      <c r="Z50" s="257">
        <v>0.64307000000000003</v>
      </c>
      <c r="AA50" s="257">
        <v>0.35693000000000003</v>
      </c>
      <c r="AB50" s="228">
        <v>7.7210000000000001</v>
      </c>
      <c r="AC50" s="228">
        <v>0.12336</v>
      </c>
      <c r="AD50" s="228">
        <v>0.87663999999999997</v>
      </c>
      <c r="AE50" s="228">
        <v>0.95299999999999996</v>
      </c>
      <c r="AF50" s="233">
        <v>7590.87</v>
      </c>
      <c r="AG50" s="228">
        <v>1.1000000000000001</v>
      </c>
      <c r="AH50" s="228">
        <v>1.0043</v>
      </c>
      <c r="AI50" s="298">
        <v>8.7849999999999994E-3</v>
      </c>
      <c r="AJ50" s="298">
        <v>8.1379999999999994E-3</v>
      </c>
      <c r="AK50" s="298">
        <v>8.0850000000000002E-3</v>
      </c>
      <c r="AL50" s="228">
        <v>1.0488090000000001</v>
      </c>
    </row>
    <row r="51" spans="3:38" x14ac:dyDescent="0.2">
      <c r="C51" s="2">
        <v>45748</v>
      </c>
      <c r="D51" s="2" t="s">
        <v>141</v>
      </c>
      <c r="E51" s="276" t="s">
        <v>48</v>
      </c>
      <c r="F51" s="227">
        <v>546</v>
      </c>
      <c r="G51" s="256">
        <v>0.72697000000000001</v>
      </c>
      <c r="H51" s="256">
        <v>5.9339999999999997E-2</v>
      </c>
      <c r="I51" s="256">
        <v>0.21368999999999999</v>
      </c>
      <c r="J51" s="258">
        <v>72.837000000000003</v>
      </c>
      <c r="K51" s="256">
        <v>0.54988000000000004</v>
      </c>
      <c r="L51" s="256">
        <v>0.45012000000000002</v>
      </c>
      <c r="M51" s="258">
        <v>11.917999999999999</v>
      </c>
      <c r="N51" s="256">
        <v>0.15295</v>
      </c>
      <c r="O51" s="256">
        <v>0.84704999999999997</v>
      </c>
      <c r="P51" s="258">
        <v>1.107</v>
      </c>
      <c r="Q51" s="253">
        <v>8568.64</v>
      </c>
      <c r="R51" s="229">
        <v>1.1000000000000001</v>
      </c>
      <c r="S51" s="254">
        <v>1.0046999999999999</v>
      </c>
      <c r="T51" s="276" t="s">
        <v>56</v>
      </c>
      <c r="U51" s="258">
        <v>523.88</v>
      </c>
      <c r="V51" s="229">
        <v>0.73073999999999995</v>
      </c>
      <c r="W51" s="229">
        <v>5.9639999999999999E-2</v>
      </c>
      <c r="X51" s="229">
        <v>0.20962</v>
      </c>
      <c r="Y51" s="258">
        <v>67.846000000000004</v>
      </c>
      <c r="Z51" s="256">
        <v>0.64307000000000003</v>
      </c>
      <c r="AA51" s="256">
        <v>0.35693000000000003</v>
      </c>
      <c r="AB51" s="258">
        <v>7.7210000000000001</v>
      </c>
      <c r="AC51" s="229">
        <v>0.12336</v>
      </c>
      <c r="AD51" s="229">
        <v>0.87663999999999997</v>
      </c>
      <c r="AE51" s="258">
        <v>0.95299999999999996</v>
      </c>
      <c r="AF51" s="253">
        <v>8044.56</v>
      </c>
      <c r="AG51" s="229">
        <v>1.1000000000000001</v>
      </c>
      <c r="AH51" s="229">
        <v>1.0043</v>
      </c>
      <c r="AI51" s="299">
        <v>8.7849999999999994E-3</v>
      </c>
      <c r="AJ51" s="299">
        <v>8.1379999999999994E-3</v>
      </c>
      <c r="AK51" s="299">
        <v>8.0850000000000002E-3</v>
      </c>
      <c r="AL51" s="229">
        <v>1.0488090000000001</v>
      </c>
    </row>
    <row r="52" spans="3:38" x14ac:dyDescent="0.2">
      <c r="C52" s="38">
        <v>45778</v>
      </c>
      <c r="D52" s="38" t="s">
        <v>141</v>
      </c>
      <c r="E52" s="275" t="s">
        <v>48</v>
      </c>
      <c r="F52" s="233">
        <v>546</v>
      </c>
      <c r="G52" s="257">
        <v>0.72697000000000001</v>
      </c>
      <c r="H52" s="257">
        <v>5.9339999999999997E-2</v>
      </c>
      <c r="I52" s="257">
        <v>0.21368999999999999</v>
      </c>
      <c r="J52" s="228">
        <v>72.837000000000003</v>
      </c>
      <c r="K52" s="257">
        <v>0.54988000000000004</v>
      </c>
      <c r="L52" s="257">
        <v>0.45012000000000002</v>
      </c>
      <c r="M52" s="228">
        <v>11.917999999999999</v>
      </c>
      <c r="N52" s="257">
        <v>0.15295</v>
      </c>
      <c r="O52" s="257">
        <v>0.84704999999999997</v>
      </c>
      <c r="P52" s="228">
        <v>1.107</v>
      </c>
      <c r="Q52" s="233">
        <v>8568.64</v>
      </c>
      <c r="R52" s="228">
        <v>1.1000000000000001</v>
      </c>
      <c r="S52" s="255">
        <v>1.0046999999999999</v>
      </c>
      <c r="T52" s="275" t="s">
        <v>56</v>
      </c>
      <c r="U52" s="228">
        <v>523.88</v>
      </c>
      <c r="V52" s="228">
        <v>0.73073999999999995</v>
      </c>
      <c r="W52" s="228">
        <v>5.9639999999999999E-2</v>
      </c>
      <c r="X52" s="228">
        <v>0.20962</v>
      </c>
      <c r="Y52" s="228">
        <v>67.846000000000004</v>
      </c>
      <c r="Z52" s="257">
        <v>0.64307000000000003</v>
      </c>
      <c r="AA52" s="257">
        <v>0.35693000000000003</v>
      </c>
      <c r="AB52" s="228">
        <v>7.7210000000000001</v>
      </c>
      <c r="AC52" s="228">
        <v>0.12336</v>
      </c>
      <c r="AD52" s="228">
        <v>0.87663999999999997</v>
      </c>
      <c r="AE52" s="228">
        <v>0.95299999999999996</v>
      </c>
      <c r="AF52" s="233">
        <v>8044.56</v>
      </c>
      <c r="AG52" s="228">
        <v>1.1000000000000001</v>
      </c>
      <c r="AH52" s="228">
        <v>1.0043</v>
      </c>
      <c r="AI52" s="298">
        <v>8.7849999999999994E-3</v>
      </c>
      <c r="AJ52" s="298">
        <v>8.1379999999999994E-3</v>
      </c>
      <c r="AK52" s="298">
        <v>8.0850000000000002E-3</v>
      </c>
      <c r="AL52" s="228">
        <v>1.0488090000000001</v>
      </c>
    </row>
    <row r="53" spans="3:38" x14ac:dyDescent="0.2">
      <c r="C53" s="2">
        <v>45809</v>
      </c>
      <c r="D53" s="2" t="s">
        <v>141</v>
      </c>
      <c r="E53" s="276" t="s">
        <v>48</v>
      </c>
      <c r="F53" s="227">
        <v>546</v>
      </c>
      <c r="G53" s="256">
        <v>0.72697000000000001</v>
      </c>
      <c r="H53" s="256">
        <v>5.9339999999999997E-2</v>
      </c>
      <c r="I53" s="256">
        <v>0.21368999999999999</v>
      </c>
      <c r="J53" s="258">
        <v>72.837000000000003</v>
      </c>
      <c r="K53" s="256">
        <v>0.54988000000000004</v>
      </c>
      <c r="L53" s="256">
        <v>0.45012000000000002</v>
      </c>
      <c r="M53" s="258">
        <v>11.917999999999999</v>
      </c>
      <c r="N53" s="256">
        <v>0.15295</v>
      </c>
      <c r="O53" s="256">
        <v>0.84704999999999997</v>
      </c>
      <c r="P53" s="258">
        <v>1.107</v>
      </c>
      <c r="Q53" s="253">
        <v>8568.64</v>
      </c>
      <c r="R53" s="229">
        <v>1.1000000000000001</v>
      </c>
      <c r="S53" s="254">
        <v>1.0046999999999999</v>
      </c>
      <c r="T53" s="276" t="s">
        <v>56</v>
      </c>
      <c r="U53" s="258">
        <v>523.88</v>
      </c>
      <c r="V53" s="229">
        <v>0.73073999999999995</v>
      </c>
      <c r="W53" s="229">
        <v>5.9639999999999999E-2</v>
      </c>
      <c r="X53" s="229">
        <v>0.20962</v>
      </c>
      <c r="Y53" s="258">
        <v>67.846000000000004</v>
      </c>
      <c r="Z53" s="256">
        <v>0.64307000000000003</v>
      </c>
      <c r="AA53" s="256">
        <v>0.35693000000000003</v>
      </c>
      <c r="AB53" s="258">
        <v>7.7210000000000001</v>
      </c>
      <c r="AC53" s="229">
        <v>0.12336</v>
      </c>
      <c r="AD53" s="229">
        <v>0.87663999999999997</v>
      </c>
      <c r="AE53" s="258">
        <v>0.95299999999999996</v>
      </c>
      <c r="AF53" s="253">
        <v>8044.56</v>
      </c>
      <c r="AG53" s="229">
        <v>1.1000000000000001</v>
      </c>
      <c r="AH53" s="229">
        <v>1.0043</v>
      </c>
      <c r="AI53" s="299">
        <v>8.7849999999999994E-3</v>
      </c>
      <c r="AJ53" s="299">
        <v>8.1379999999999994E-3</v>
      </c>
      <c r="AK53" s="299">
        <v>8.0850000000000002E-3</v>
      </c>
      <c r="AL53" s="229">
        <v>1.0488090000000001</v>
      </c>
    </row>
    <row r="54" spans="3:38" ht="13.5" thickBot="1" x14ac:dyDescent="0.25">
      <c r="C54" s="57">
        <v>45839</v>
      </c>
      <c r="D54" s="57" t="s">
        <v>141</v>
      </c>
      <c r="E54" s="324" t="s">
        <v>48</v>
      </c>
      <c r="F54" s="320">
        <v>546</v>
      </c>
      <c r="G54" s="325">
        <v>0.72697000000000001</v>
      </c>
      <c r="H54" s="325">
        <v>5.9339999999999997E-2</v>
      </c>
      <c r="I54" s="325">
        <v>0.21368999999999999</v>
      </c>
      <c r="J54" s="321">
        <v>72.837000000000003</v>
      </c>
      <c r="K54" s="325">
        <v>0.54988000000000004</v>
      </c>
      <c r="L54" s="325">
        <v>0.45012000000000002</v>
      </c>
      <c r="M54" s="321">
        <v>11.917999999999999</v>
      </c>
      <c r="N54" s="325">
        <v>0.15295</v>
      </c>
      <c r="O54" s="325">
        <v>0.84704999999999997</v>
      </c>
      <c r="P54" s="321">
        <v>1.107</v>
      </c>
      <c r="Q54" s="320">
        <v>8568.64</v>
      </c>
      <c r="R54" s="321">
        <v>1.1000000000000001</v>
      </c>
      <c r="S54" s="326">
        <v>1.0046999999999999</v>
      </c>
      <c r="T54" s="324" t="s">
        <v>56</v>
      </c>
      <c r="U54" s="321">
        <v>523.88</v>
      </c>
      <c r="V54" s="321">
        <v>0.73073999999999995</v>
      </c>
      <c r="W54" s="321">
        <v>5.9639999999999999E-2</v>
      </c>
      <c r="X54" s="321">
        <v>0.20962</v>
      </c>
      <c r="Y54" s="321">
        <v>67.846000000000004</v>
      </c>
      <c r="Z54" s="325">
        <v>0.64307000000000003</v>
      </c>
      <c r="AA54" s="325">
        <v>0.35693000000000003</v>
      </c>
      <c r="AB54" s="321">
        <v>7.7210000000000001</v>
      </c>
      <c r="AC54" s="321">
        <v>0.12336</v>
      </c>
      <c r="AD54" s="321">
        <v>0.87663999999999997</v>
      </c>
      <c r="AE54" s="321">
        <v>0.95299999999999996</v>
      </c>
      <c r="AF54" s="320">
        <v>8044.56</v>
      </c>
      <c r="AG54" s="321">
        <v>1.1000000000000001</v>
      </c>
      <c r="AH54" s="321">
        <v>1.0043</v>
      </c>
      <c r="AI54" s="327">
        <v>8.7849999999999994E-3</v>
      </c>
      <c r="AJ54" s="327">
        <v>8.1379999999999994E-3</v>
      </c>
      <c r="AK54" s="327">
        <v>8.0850000000000002E-3</v>
      </c>
      <c r="AL54" s="321">
        <v>1.0488090000000001</v>
      </c>
    </row>
  </sheetData>
  <mergeCells count="25"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  <mergeCell ref="AK7:AK8"/>
    <mergeCell ref="AL7:AL8"/>
    <mergeCell ref="Q7:Q8"/>
    <mergeCell ref="F7:I7"/>
    <mergeCell ref="J7:L7"/>
    <mergeCell ref="M7:O7"/>
    <mergeCell ref="Y7:AA7"/>
    <mergeCell ref="T7:T8"/>
    <mergeCell ref="S7:S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79"/>
  <sheetViews>
    <sheetView tabSelected="1" workbookViewId="0">
      <pane ySplit="2" topLeftCell="A60" activePane="bottomLeft" state="frozen"/>
      <selection pane="bottomLeft"/>
    </sheetView>
  </sheetViews>
  <sheetFormatPr baseColWidth="10" defaultColWidth="11.42578125" defaultRowHeight="12.75" x14ac:dyDescent="0.2"/>
  <cols>
    <col min="1" max="7" width="11.42578125" style="210"/>
    <col min="8" max="8" width="11" style="210" bestFit="1" customWidth="1"/>
    <col min="9" max="9" width="9.42578125" style="210" bestFit="1" customWidth="1"/>
    <col min="10" max="10" width="16.85546875" style="210" bestFit="1" customWidth="1"/>
    <col min="11" max="11" width="9.42578125" style="210" bestFit="1" customWidth="1"/>
    <col min="12" max="16384" width="11.42578125" style="210"/>
  </cols>
  <sheetData>
    <row r="2" spans="2:21" x14ac:dyDescent="0.2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43" t="s">
        <v>112</v>
      </c>
      <c r="P5" s="343"/>
      <c r="Q5" s="343"/>
      <c r="R5" s="343"/>
      <c r="T5" s="344" t="s">
        <v>111</v>
      </c>
      <c r="U5" s="344"/>
    </row>
    <row r="6" spans="2:21" x14ac:dyDescent="0.2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2">
        <v>245.03399999999999</v>
      </c>
      <c r="F47" s="312">
        <v>267.89800000000002</v>
      </c>
      <c r="H47" s="221">
        <f t="shared" si="17"/>
        <v>1.1860584909790994</v>
      </c>
      <c r="I47" s="222">
        <f t="shared" si="18"/>
        <v>1.2240463544181555</v>
      </c>
      <c r="J47" s="221">
        <f t="shared" si="19"/>
        <v>1.1022672064777328</v>
      </c>
      <c r="K47" s="221">
        <f t="shared" si="20"/>
        <v>1.3374837743384924</v>
      </c>
    </row>
    <row r="48" spans="2:15" x14ac:dyDescent="0.2">
      <c r="B48" s="38">
        <v>44835</v>
      </c>
      <c r="C48" s="39">
        <v>955.89</v>
      </c>
      <c r="D48" s="40">
        <v>127.41</v>
      </c>
      <c r="E48" s="267">
        <v>245.499</v>
      </c>
      <c r="F48" s="267">
        <v>265.06099999999998</v>
      </c>
      <c r="H48" s="223">
        <f t="shared" si="17"/>
        <v>1.2309762662099339</v>
      </c>
      <c r="I48" s="224">
        <f t="shared" si="18"/>
        <v>1.2304200869145341</v>
      </c>
      <c r="J48" s="223">
        <f t="shared" si="19"/>
        <v>1.1043589743589743</v>
      </c>
      <c r="K48" s="223">
        <f t="shared" si="20"/>
        <v>1.3233200199700448</v>
      </c>
    </row>
    <row r="49" spans="2:15" x14ac:dyDescent="0.2">
      <c r="B49" s="2">
        <v>44866</v>
      </c>
      <c r="C49" s="3">
        <v>917.05</v>
      </c>
      <c r="D49" s="11">
        <v>128.65</v>
      </c>
      <c r="E49" s="266">
        <v>245.959</v>
      </c>
      <c r="F49" s="266">
        <v>263.15699999999998</v>
      </c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1.1064282501124605</v>
      </c>
      <c r="K49" s="221">
        <f t="shared" ref="K49:K52" si="24">+F49/Q$7</f>
        <v>1.3138142785821267</v>
      </c>
    </row>
    <row r="50" spans="2:15" x14ac:dyDescent="0.2">
      <c r="B50" s="38">
        <v>44896</v>
      </c>
      <c r="C50" s="39">
        <v>875.66</v>
      </c>
      <c r="D50" s="40">
        <v>129.02000000000001</v>
      </c>
      <c r="E50" s="267">
        <v>246.518</v>
      </c>
      <c r="F50" s="267">
        <v>257.89699999999999</v>
      </c>
      <c r="H50" s="223">
        <f t="shared" si="21"/>
        <v>1.1276576564974952</v>
      </c>
      <c r="I50" s="224">
        <f t="shared" si="22"/>
        <v>1.2459681313375182</v>
      </c>
      <c r="J50" s="223">
        <f t="shared" si="23"/>
        <v>1.1089428699955015</v>
      </c>
      <c r="K50" s="223">
        <f t="shared" si="24"/>
        <v>1.2875536694957563</v>
      </c>
      <c r="M50" s="217" t="s">
        <v>133</v>
      </c>
    </row>
    <row r="51" spans="2:15" x14ac:dyDescent="0.2">
      <c r="B51" s="2">
        <v>44927</v>
      </c>
      <c r="C51" s="308">
        <v>826.34</v>
      </c>
      <c r="D51" s="309">
        <v>130.05000000000001</v>
      </c>
      <c r="E51" s="314">
        <v>247.08099999999999</v>
      </c>
      <c r="F51" s="314">
        <v>260.22699999999998</v>
      </c>
      <c r="H51" s="221">
        <f t="shared" si="21"/>
        <v>1.0641443344107762</v>
      </c>
      <c r="I51" s="222">
        <f t="shared" si="22"/>
        <v>1.2559150169000484</v>
      </c>
      <c r="J51" s="221">
        <f t="shared" si="23"/>
        <v>1.1114754835807465</v>
      </c>
      <c r="K51" s="221">
        <f t="shared" si="24"/>
        <v>1.2991862206689964</v>
      </c>
      <c r="M51" s="210">
        <v>98.53</v>
      </c>
    </row>
    <row r="52" spans="2:15" x14ac:dyDescent="0.2">
      <c r="B52" s="38">
        <v>44958</v>
      </c>
      <c r="C52" s="310">
        <v>798.26</v>
      </c>
      <c r="D52" s="311">
        <v>129.97</v>
      </c>
      <c r="E52" s="315">
        <v>247.839</v>
      </c>
      <c r="F52" s="316">
        <v>258.66899999999998</v>
      </c>
      <c r="H52" s="223">
        <f t="shared" si="21"/>
        <v>1.0279834649015491</v>
      </c>
      <c r="I52" s="224">
        <f t="shared" si="22"/>
        <v>1.2551424432641236</v>
      </c>
      <c r="J52" s="223">
        <f t="shared" si="23"/>
        <v>1.1148852901484481</v>
      </c>
      <c r="K52" s="223">
        <f t="shared" si="24"/>
        <v>1.2914078881677482</v>
      </c>
      <c r="M52" s="210">
        <v>98.79</v>
      </c>
    </row>
    <row r="53" spans="2:15" x14ac:dyDescent="0.2">
      <c r="B53" s="2">
        <v>44986</v>
      </c>
      <c r="C53" s="308">
        <v>809.5</v>
      </c>
      <c r="D53" s="313">
        <v>131.38</v>
      </c>
      <c r="E53" s="312">
        <v>255.92699999999999</v>
      </c>
      <c r="F53" s="312">
        <v>257.06200000000001</v>
      </c>
      <c r="H53" s="221">
        <f t="shared" ref="H53:H58" si="25">+C53/O$7</f>
        <v>1.0424581149472654</v>
      </c>
      <c r="I53" s="222">
        <f t="shared" ref="I53:I58" si="26">+D53/R$7</f>
        <v>1.2687590535972959</v>
      </c>
      <c r="J53" s="221">
        <f t="shared" ref="J53:J58" si="27">+E53/P$7</f>
        <v>1.1512685560053981</v>
      </c>
      <c r="K53" s="221">
        <f t="shared" ref="K53:K58" si="28">+F53/Q$7</f>
        <v>1.2833849226160758</v>
      </c>
      <c r="M53" s="210">
        <v>99.51</v>
      </c>
      <c r="O53" s="322" t="s">
        <v>134</v>
      </c>
    </row>
    <row r="54" spans="2:15" x14ac:dyDescent="0.2">
      <c r="B54" s="38">
        <v>45017</v>
      </c>
      <c r="C54" s="310">
        <v>803.84</v>
      </c>
      <c r="D54" s="311">
        <v>131.79</v>
      </c>
      <c r="E54" s="317">
        <v>256.38799999999998</v>
      </c>
      <c r="F54" s="317">
        <v>256.90800000000002</v>
      </c>
      <c r="H54" s="223">
        <f t="shared" si="25"/>
        <v>1.0351692787142803</v>
      </c>
      <c r="I54" s="224">
        <f t="shared" si="26"/>
        <v>1.27271849348141</v>
      </c>
      <c r="J54" s="223">
        <f t="shared" si="27"/>
        <v>1.1533423301844352</v>
      </c>
      <c r="K54" s="223">
        <f t="shared" si="28"/>
        <v>1.2826160758861707</v>
      </c>
      <c r="M54" s="210">
        <v>99.77</v>
      </c>
      <c r="O54" s="210">
        <f>M62/D62</f>
        <v>0.75346756152125283</v>
      </c>
    </row>
    <row r="55" spans="2:15" x14ac:dyDescent="0.2">
      <c r="B55" s="2">
        <v>45047</v>
      </c>
      <c r="C55" s="308">
        <v>798.64</v>
      </c>
      <c r="D55" s="309">
        <v>131.94</v>
      </c>
      <c r="E55" s="312">
        <v>256.81700000000001</v>
      </c>
      <c r="F55" s="312">
        <v>253.67</v>
      </c>
      <c r="H55" s="221">
        <f t="shared" si="25"/>
        <v>1.0284728213977568</v>
      </c>
      <c r="I55" s="222">
        <f t="shared" si="26"/>
        <v>1.2741670690487688</v>
      </c>
      <c r="J55" s="221">
        <f t="shared" si="27"/>
        <v>1.1552721547458389</v>
      </c>
      <c r="K55" s="221">
        <f t="shared" si="28"/>
        <v>1.2664503245132299</v>
      </c>
      <c r="M55" s="210">
        <v>100.09</v>
      </c>
    </row>
    <row r="56" spans="2:15" x14ac:dyDescent="0.2">
      <c r="B56" s="38">
        <v>45078</v>
      </c>
      <c r="C56" s="310">
        <v>799.87</v>
      </c>
      <c r="D56" s="311">
        <v>131.74</v>
      </c>
      <c r="E56" s="317">
        <v>256.35500000000002</v>
      </c>
      <c r="F56" s="317">
        <v>253.86</v>
      </c>
      <c r="H56" s="223">
        <f t="shared" si="25"/>
        <v>1.0300567911091651</v>
      </c>
      <c r="I56" s="224">
        <f t="shared" si="26"/>
        <v>1.2722356349589572</v>
      </c>
      <c r="J56" s="223">
        <f t="shared" si="27"/>
        <v>1.1531938821412506</v>
      </c>
      <c r="K56" s="223">
        <f t="shared" si="28"/>
        <v>1.2673989016475287</v>
      </c>
      <c r="M56" s="210">
        <v>99.66</v>
      </c>
    </row>
    <row r="57" spans="2:15" x14ac:dyDescent="0.2">
      <c r="B57" s="2">
        <v>45108</v>
      </c>
      <c r="C57" s="308">
        <v>813.4</v>
      </c>
      <c r="D57" s="309">
        <v>132.19999999999999</v>
      </c>
      <c r="E57" s="312">
        <v>253.63200000000001</v>
      </c>
      <c r="F57" s="312">
        <v>253.83500000000001</v>
      </c>
      <c r="H57" s="221">
        <f t="shared" si="25"/>
        <v>1.0474804579346579</v>
      </c>
      <c r="I57" s="222">
        <f t="shared" si="26"/>
        <v>1.2766779333655238</v>
      </c>
      <c r="J57" s="221">
        <f t="shared" si="27"/>
        <v>1.1409446693657219</v>
      </c>
      <c r="K57" s="221">
        <f t="shared" si="28"/>
        <v>1.2672740888667</v>
      </c>
      <c r="M57" s="210">
        <v>99.78</v>
      </c>
    </row>
    <row r="58" spans="2:15" x14ac:dyDescent="0.2">
      <c r="B58" s="38">
        <v>45139</v>
      </c>
      <c r="C58" s="310">
        <v>855.66</v>
      </c>
      <c r="D58" s="311">
        <v>132.35</v>
      </c>
      <c r="E58" s="317">
        <v>258.39600000000002</v>
      </c>
      <c r="F58" s="317">
        <v>257.68</v>
      </c>
      <c r="H58" s="223">
        <f t="shared" si="25"/>
        <v>1.1019020514339433</v>
      </c>
      <c r="I58" s="224">
        <f t="shared" si="26"/>
        <v>1.2781265089328826</v>
      </c>
      <c r="J58" s="223">
        <f t="shared" si="27"/>
        <v>1.1623751686909582</v>
      </c>
      <c r="K58" s="223">
        <f t="shared" si="28"/>
        <v>1.2864702945581628</v>
      </c>
      <c r="M58" s="210">
        <v>99.9</v>
      </c>
    </row>
    <row r="59" spans="2:15" x14ac:dyDescent="0.2">
      <c r="B59" s="2">
        <v>45170</v>
      </c>
      <c r="C59" s="308">
        <v>884.4</v>
      </c>
      <c r="D59" s="309">
        <v>133.24</v>
      </c>
      <c r="E59" s="312">
        <v>259.31599999999997</v>
      </c>
      <c r="F59" s="312">
        <v>258.93400000000003</v>
      </c>
      <c r="H59" s="221">
        <f t="shared" ref="H59:H67" si="29">+C59/O$7</f>
        <v>1.1389128559102675</v>
      </c>
      <c r="I59" s="222">
        <f t="shared" ref="I59:I67" si="30">+D59/R$7</f>
        <v>1.2867213906325448</v>
      </c>
      <c r="J59" s="221">
        <f t="shared" ref="J59:J68" si="31">+E59/P$7</f>
        <v>1.1665137201979305</v>
      </c>
      <c r="K59" s="221">
        <f t="shared" ref="K59:K68" si="32">+F59/Q$7</f>
        <v>1.2927309036445334</v>
      </c>
      <c r="M59" s="210">
        <v>100.53</v>
      </c>
    </row>
    <row r="60" spans="2:15" x14ac:dyDescent="0.2">
      <c r="B60" s="38">
        <v>45200</v>
      </c>
      <c r="C60" s="310">
        <v>926.35</v>
      </c>
      <c r="D60" s="311">
        <v>133.82</v>
      </c>
      <c r="E60" s="317">
        <v>260.34100000000001</v>
      </c>
      <c r="F60" s="317">
        <v>255.19200000000001</v>
      </c>
      <c r="H60" s="223">
        <f t="shared" si="29"/>
        <v>1.1929352375310678</v>
      </c>
      <c r="I60" s="224">
        <f t="shared" si="30"/>
        <v>1.2923225494929986</v>
      </c>
      <c r="J60" s="223">
        <f t="shared" si="31"/>
        <v>1.1711246063877643</v>
      </c>
      <c r="K60" s="223">
        <f t="shared" si="32"/>
        <v>1.2740489266100847</v>
      </c>
      <c r="M60" s="210">
        <v>100.82</v>
      </c>
    </row>
    <row r="61" spans="2:15" x14ac:dyDescent="0.2">
      <c r="B61" s="2">
        <v>45231</v>
      </c>
      <c r="C61" s="308">
        <v>886.61</v>
      </c>
      <c r="D61" s="309">
        <v>134.82</v>
      </c>
      <c r="E61" s="312">
        <v>261.33800000000002</v>
      </c>
      <c r="F61" s="312">
        <v>252.85599999999999</v>
      </c>
      <c r="H61" s="221">
        <f t="shared" si="29"/>
        <v>1.14175885026979</v>
      </c>
      <c r="I61" s="222">
        <f t="shared" si="30"/>
        <v>1.3019797199420569</v>
      </c>
      <c r="J61" s="221">
        <f t="shared" si="31"/>
        <v>1.1756095366621684</v>
      </c>
      <c r="K61" s="221">
        <f t="shared" si="32"/>
        <v>1.2623864203694457</v>
      </c>
      <c r="M61" s="210">
        <v>101.58</v>
      </c>
    </row>
    <row r="62" spans="2:15" x14ac:dyDescent="0.2">
      <c r="B62" s="38">
        <v>45261</v>
      </c>
      <c r="C62" s="310">
        <v>874.67</v>
      </c>
      <c r="D62" s="311">
        <v>134.1</v>
      </c>
      <c r="E62" s="317">
        <v>261.56700000000001</v>
      </c>
      <c r="F62" s="317">
        <v>249.86600000000001</v>
      </c>
      <c r="H62" s="223">
        <f t="shared" si="29"/>
        <v>1.1263827540468494</v>
      </c>
      <c r="I62" s="224">
        <f t="shared" si="30"/>
        <v>1.2950265572187349</v>
      </c>
      <c r="J62" s="223">
        <f t="shared" si="31"/>
        <v>1.1766396761133604</v>
      </c>
      <c r="K62" s="223">
        <f t="shared" si="32"/>
        <v>1.2474588117823264</v>
      </c>
      <c r="M62" s="210">
        <v>101.04</v>
      </c>
    </row>
    <row r="63" spans="2:15" x14ac:dyDescent="0.2">
      <c r="B63" s="2">
        <v>45292</v>
      </c>
      <c r="C63" s="308">
        <v>907.99</v>
      </c>
      <c r="D63" s="309">
        <f t="shared" ref="D63:D70" si="33">+ROUND(M63/$O$54,2)</f>
        <v>135</v>
      </c>
      <c r="E63" s="312">
        <v>262.47199999999998</v>
      </c>
      <c r="F63" s="312">
        <v>251.30600000000001</v>
      </c>
      <c r="H63" s="221">
        <f t="shared" si="29"/>
        <v>1.1692915920827271</v>
      </c>
      <c r="I63" s="222">
        <f t="shared" si="30"/>
        <v>1.3037180106228876</v>
      </c>
      <c r="J63" s="221">
        <f t="shared" si="31"/>
        <v>1.1807107512370669</v>
      </c>
      <c r="K63" s="221">
        <f t="shared" si="32"/>
        <v>1.254648027958063</v>
      </c>
      <c r="M63" s="210">
        <v>101.72</v>
      </c>
    </row>
    <row r="64" spans="2:15" x14ac:dyDescent="0.2">
      <c r="B64" s="38">
        <v>45323</v>
      </c>
      <c r="C64" s="310">
        <v>963.44</v>
      </c>
      <c r="D64" s="311">
        <f t="shared" si="33"/>
        <v>135.80000000000001</v>
      </c>
      <c r="E64" s="317">
        <v>262.49200000000002</v>
      </c>
      <c r="F64" s="317">
        <v>254.92599999999999</v>
      </c>
      <c r="H64" s="223">
        <f t="shared" si="29"/>
        <v>1.240699007121425</v>
      </c>
      <c r="I64" s="224">
        <f t="shared" si="30"/>
        <v>1.3114437469821343</v>
      </c>
      <c r="J64" s="223">
        <f t="shared" si="31"/>
        <v>1.1808007197480881</v>
      </c>
      <c r="K64" s="223">
        <f t="shared" si="32"/>
        <v>1.2727209186220667</v>
      </c>
      <c r="M64" s="210">
        <v>102.32</v>
      </c>
    </row>
    <row r="65" spans="2:13" x14ac:dyDescent="0.2">
      <c r="B65" s="2">
        <v>45352</v>
      </c>
      <c r="C65" s="308">
        <v>967.93</v>
      </c>
      <c r="D65" s="309">
        <f t="shared" si="33"/>
        <v>136.30000000000001</v>
      </c>
      <c r="E65" s="312">
        <v>262.99200000000002</v>
      </c>
      <c r="F65" s="312">
        <v>255.095</v>
      </c>
      <c r="H65" s="221">
        <f t="shared" si="29"/>
        <v>1.2464811404581921</v>
      </c>
      <c r="I65" s="224">
        <f t="shared" si="30"/>
        <v>1.3162723322066636</v>
      </c>
      <c r="J65" s="221">
        <f t="shared" si="31"/>
        <v>1.1830499325236168</v>
      </c>
      <c r="K65" s="221">
        <f t="shared" si="32"/>
        <v>1.2735646530204692</v>
      </c>
      <c r="M65" s="210">
        <v>102.7</v>
      </c>
    </row>
    <row r="66" spans="2:13" x14ac:dyDescent="0.2">
      <c r="B66" s="38">
        <v>45383</v>
      </c>
      <c r="C66" s="310">
        <v>960.14</v>
      </c>
      <c r="D66" s="311">
        <f t="shared" si="33"/>
        <v>137.02000000000001</v>
      </c>
      <c r="E66" s="323">
        <v>264.50099999999998</v>
      </c>
      <c r="F66" s="323">
        <v>256.97800000000001</v>
      </c>
      <c r="H66" s="223">
        <f t="shared" si="29"/>
        <v>1.2364493322859387</v>
      </c>
      <c r="I66" s="224">
        <f t="shared" si="30"/>
        <v>1.3232254949299858</v>
      </c>
      <c r="J66" s="223">
        <f t="shared" si="31"/>
        <v>1.1898380566801618</v>
      </c>
      <c r="K66" s="223">
        <f t="shared" si="32"/>
        <v>1.2829655516724912</v>
      </c>
      <c r="M66" s="210">
        <v>103.24</v>
      </c>
    </row>
    <row r="67" spans="2:13" x14ac:dyDescent="0.2">
      <c r="B67" s="2">
        <v>45413</v>
      </c>
      <c r="C67" s="308">
        <v>917.88</v>
      </c>
      <c r="D67" s="309">
        <f t="shared" si="33"/>
        <v>137.38999999999999</v>
      </c>
      <c r="E67" s="312">
        <v>265.27600000000001</v>
      </c>
      <c r="F67" s="312">
        <v>255.31299999999999</v>
      </c>
      <c r="H67" s="223">
        <f t="shared" si="29"/>
        <v>1.1820277387866536</v>
      </c>
      <c r="I67" s="224">
        <f t="shared" si="30"/>
        <v>1.3267986479961371</v>
      </c>
      <c r="J67" s="221">
        <f t="shared" si="31"/>
        <v>1.1933243364822312</v>
      </c>
      <c r="K67" s="221">
        <f t="shared" si="32"/>
        <v>1.2746530204692958</v>
      </c>
      <c r="M67" s="210">
        <v>103.52</v>
      </c>
    </row>
    <row r="68" spans="2:13" x14ac:dyDescent="0.2">
      <c r="B68" s="38">
        <v>45444</v>
      </c>
      <c r="C68" s="310">
        <v>926.08</v>
      </c>
      <c r="D68" s="311">
        <f t="shared" si="33"/>
        <v>137.26</v>
      </c>
      <c r="E68" s="317">
        <v>266.238</v>
      </c>
      <c r="F68" s="317">
        <v>255.91399999999999</v>
      </c>
      <c r="H68" s="223">
        <f t="shared" ref="H68:H70" si="34">+C68/O$7</f>
        <v>1.1925875368627099</v>
      </c>
      <c r="I68" s="224">
        <f t="shared" ref="I68:I70" si="35">+D68/R$7</f>
        <v>1.3255432158377596</v>
      </c>
      <c r="J68" s="223">
        <f t="shared" si="31"/>
        <v>1.1976518218623482</v>
      </c>
      <c r="K68" s="223">
        <f t="shared" si="32"/>
        <v>1.2776535197204193</v>
      </c>
      <c r="M68" s="210">
        <v>103.42</v>
      </c>
    </row>
    <row r="69" spans="2:13" x14ac:dyDescent="0.2">
      <c r="B69" s="38">
        <v>45474</v>
      </c>
      <c r="C69" s="308">
        <v>937.56</v>
      </c>
      <c r="D69" s="309">
        <f t="shared" si="33"/>
        <v>138.28</v>
      </c>
      <c r="E69" s="312">
        <v>267.548</v>
      </c>
      <c r="F69" s="312">
        <v>257.32100000000003</v>
      </c>
      <c r="H69" s="221">
        <f t="shared" si="34"/>
        <v>1.2073712541691886</v>
      </c>
      <c r="I69" s="222">
        <f t="shared" si="35"/>
        <v>1.3353935296957993</v>
      </c>
      <c r="J69" s="221">
        <f t="shared" ref="J69" si="36">+E69/P$7</f>
        <v>1.203544759334233</v>
      </c>
      <c r="K69" s="221">
        <f t="shared" ref="K69" si="37">+F69/Q$7</f>
        <v>1.2846779830254618</v>
      </c>
      <c r="M69" s="210">
        <v>104.19</v>
      </c>
    </row>
    <row r="70" spans="2:13" x14ac:dyDescent="0.2">
      <c r="B70" s="38">
        <v>45505</v>
      </c>
      <c r="C70" s="310">
        <v>929.9</v>
      </c>
      <c r="D70" s="311">
        <f t="shared" si="33"/>
        <v>138.63</v>
      </c>
      <c r="E70" s="317">
        <v>269.089</v>
      </c>
      <c r="F70" s="317">
        <v>255.46299999999999</v>
      </c>
      <c r="H70" s="223">
        <f t="shared" si="34"/>
        <v>1.1975068574298482</v>
      </c>
      <c r="I70" s="224">
        <f t="shared" si="35"/>
        <v>1.3387735393529696</v>
      </c>
      <c r="J70" s="223">
        <f t="shared" ref="J70:J71" si="38">+E70/P$7</f>
        <v>1.2104768331084119</v>
      </c>
      <c r="K70" s="223">
        <f t="shared" ref="K70" si="39">+F70/Q$7</f>
        <v>1.2754018971542684</v>
      </c>
      <c r="M70" s="210">
        <v>104.45</v>
      </c>
    </row>
    <row r="71" spans="2:13" x14ac:dyDescent="0.2">
      <c r="B71" s="2">
        <v>45536</v>
      </c>
      <c r="C71" s="308">
        <v>926.21</v>
      </c>
      <c r="D71" s="309">
        <v>138.75</v>
      </c>
      <c r="E71" s="312">
        <v>267.01900000000001</v>
      </c>
      <c r="F71" s="312">
        <v>252.68199999999999</v>
      </c>
      <c r="H71" s="221">
        <f>+C71/O$7</f>
        <v>1.192754948295623</v>
      </c>
      <c r="I71" s="222">
        <f>+D71/R$7</f>
        <v>1.3399323998068566</v>
      </c>
      <c r="J71" s="221">
        <f t="shared" si="38"/>
        <v>1.2011650922177237</v>
      </c>
      <c r="K71" s="221">
        <f>+F71/Q$7</f>
        <v>1.2615177234148776</v>
      </c>
      <c r="M71" s="210">
        <v>104.54</v>
      </c>
    </row>
    <row r="72" spans="2:13" x14ac:dyDescent="0.2">
      <c r="B72" s="38">
        <v>45566</v>
      </c>
      <c r="C72" s="310">
        <v>933.81</v>
      </c>
      <c r="D72" s="311">
        <f t="shared" ref="D72:D73" si="40">+ROUND(M72/$O$54,2)</f>
        <v>140.1</v>
      </c>
      <c r="E72" s="317">
        <v>267.84199999999998</v>
      </c>
      <c r="F72" s="317">
        <v>253.08099999999999</v>
      </c>
      <c r="H72" s="223">
        <f>+C72/O$7</f>
        <v>1.2025420782197727</v>
      </c>
      <c r="I72" s="224">
        <f>+D72/R$7</f>
        <v>1.3529695799130854</v>
      </c>
      <c r="J72" s="223">
        <f>+E72/P$7</f>
        <v>1.2048672964462437</v>
      </c>
      <c r="K72" s="223">
        <f>+F72/Q$7</f>
        <v>1.2635097353969045</v>
      </c>
      <c r="M72" s="210">
        <v>105.56</v>
      </c>
    </row>
    <row r="73" spans="2:13" x14ac:dyDescent="0.2">
      <c r="B73" s="2">
        <v>45597</v>
      </c>
      <c r="C73" s="308">
        <v>971.6</v>
      </c>
      <c r="D73" s="309">
        <f t="shared" si="40"/>
        <v>140.46</v>
      </c>
      <c r="E73" s="312">
        <v>269.25700000000001</v>
      </c>
      <c r="F73" s="312">
        <v>253.21100000000001</v>
      </c>
      <c r="H73" s="221">
        <f>+C73/O$7</f>
        <v>1.251207293987354</v>
      </c>
      <c r="I73" s="222">
        <f>+D73/R$7</f>
        <v>1.3564461612747467</v>
      </c>
      <c r="J73" s="221">
        <f>+E73/P$7</f>
        <v>1.2112325686009897</v>
      </c>
      <c r="K73" s="221">
        <f>+F73/Q$7</f>
        <v>1.2641587618572141</v>
      </c>
      <c r="M73" s="210">
        <v>105.83</v>
      </c>
    </row>
    <row r="74" spans="2:13" x14ac:dyDescent="0.2">
      <c r="B74" s="38">
        <v>45627</v>
      </c>
      <c r="C74" s="310">
        <v>982.3</v>
      </c>
      <c r="D74" s="311">
        <f t="shared" ref="D74:D79" si="41">+ROUND(M74/$O$54,2)</f>
        <v>140.18</v>
      </c>
      <c r="E74" s="317">
        <v>270.68599999999998</v>
      </c>
      <c r="F74" s="317">
        <v>253.423</v>
      </c>
      <c r="H74" s="223">
        <f t="shared" ref="H74:H76" si="42">+C74/O$7</f>
        <v>1.2649865426963542</v>
      </c>
      <c r="I74" s="224">
        <f t="shared" ref="I74:I76" si="43">+D74/R$7</f>
        <v>1.3537421535490102</v>
      </c>
      <c r="J74" s="221">
        <f>+E74/P$7</f>
        <v>1.2176608187134501</v>
      </c>
      <c r="K74" s="221">
        <f>+F74/Q$7</f>
        <v>1.265217174238642</v>
      </c>
      <c r="M74" s="210">
        <v>105.62</v>
      </c>
    </row>
    <row r="75" spans="2:13" x14ac:dyDescent="0.2">
      <c r="B75" s="2">
        <v>45658</v>
      </c>
      <c r="C75" s="308">
        <v>1000.76</v>
      </c>
      <c r="D75" s="309">
        <f t="shared" si="41"/>
        <v>141.66999999999999</v>
      </c>
      <c r="E75" s="312"/>
      <c r="F75" s="312"/>
      <c r="H75" s="221">
        <f t="shared" si="42"/>
        <v>1.2887589661700127</v>
      </c>
      <c r="I75" s="222">
        <f t="shared" si="43"/>
        <v>1.368131337518107</v>
      </c>
      <c r="J75" s="221"/>
      <c r="K75" s="221"/>
      <c r="M75" s="210">
        <v>106.74</v>
      </c>
    </row>
    <row r="76" spans="2:13" x14ac:dyDescent="0.2">
      <c r="B76" s="38">
        <v>45689</v>
      </c>
      <c r="C76" s="310">
        <v>956.62</v>
      </c>
      <c r="D76" s="311">
        <f t="shared" si="41"/>
        <v>142.22</v>
      </c>
      <c r="E76" s="317"/>
      <c r="F76" s="317"/>
      <c r="H76" s="223">
        <f t="shared" si="42"/>
        <v>1.2319163457947537</v>
      </c>
      <c r="I76" s="224">
        <f t="shared" si="43"/>
        <v>1.3734427812650893</v>
      </c>
      <c r="J76" s="223"/>
      <c r="K76" s="223"/>
      <c r="M76" s="210">
        <v>107.16</v>
      </c>
    </row>
    <row r="77" spans="2:13" x14ac:dyDescent="0.2">
      <c r="B77" s="2">
        <v>45717</v>
      </c>
      <c r="C77" s="308">
        <v>932.55</v>
      </c>
      <c r="D77" s="309">
        <f t="shared" si="41"/>
        <v>142.94</v>
      </c>
      <c r="E77" s="312"/>
      <c r="F77" s="312"/>
      <c r="H77" s="221">
        <f t="shared" ref="H77" si="44">+C77/O$7</f>
        <v>1.2009194751007688</v>
      </c>
      <c r="I77" s="222">
        <f t="shared" ref="I77" si="45">+D77/R$7</f>
        <v>1.3803959439884115</v>
      </c>
      <c r="J77" s="221"/>
      <c r="K77" s="221"/>
      <c r="M77" s="210">
        <v>107.7</v>
      </c>
    </row>
    <row r="78" spans="2:13" x14ac:dyDescent="0.2">
      <c r="B78" s="38">
        <v>45748</v>
      </c>
      <c r="C78" s="310">
        <v>961.96</v>
      </c>
      <c r="D78" s="311">
        <f t="shared" si="41"/>
        <v>143.22</v>
      </c>
      <c r="E78" s="317"/>
      <c r="F78" s="317"/>
      <c r="H78" s="223">
        <f t="shared" ref="H78" si="46">+C78/O$7</f>
        <v>1.2387930923467221</v>
      </c>
      <c r="I78" s="224">
        <f t="shared" ref="I78" si="47">+D78/R$7</f>
        <v>1.3830999517141478</v>
      </c>
      <c r="J78" s="223"/>
      <c r="K78" s="223"/>
      <c r="M78" s="210">
        <v>107.91</v>
      </c>
    </row>
    <row r="79" spans="2:13" x14ac:dyDescent="0.2">
      <c r="B79" s="2">
        <v>45778</v>
      </c>
      <c r="C79" s="308">
        <v>941.01</v>
      </c>
      <c r="D79" s="309">
        <f t="shared" si="41"/>
        <v>143.5</v>
      </c>
      <c r="E79" s="312"/>
      <c r="F79" s="312"/>
      <c r="H79" s="223">
        <f t="shared" ref="H79" si="48">+C79/O$7</f>
        <v>1.2118140960426513</v>
      </c>
      <c r="I79" s="224">
        <f t="shared" ref="I79" si="49">+D79/R$7</f>
        <v>1.3858039594398841</v>
      </c>
      <c r="M79" s="210">
        <v>108.12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50"/>
  <sheetViews>
    <sheetView showGridLines="0" zoomScaleNormal="100" workbookViewId="0">
      <pane ySplit="4" topLeftCell="A38" activePane="bottomLeft" state="frozen"/>
      <selection pane="bottomLeft"/>
    </sheetView>
  </sheetViews>
  <sheetFormatPr baseColWidth="10" defaultColWidth="11.42578125" defaultRowHeight="12.75" x14ac:dyDescent="0.2"/>
  <cols>
    <col min="1" max="1" width="8.28515625" style="210" bestFit="1" customWidth="1"/>
    <col min="2" max="2" width="8.140625" style="210" bestFit="1" customWidth="1"/>
    <col min="3" max="3" width="56" style="210" bestFit="1" customWidth="1"/>
    <col min="4" max="4" width="11.28515625" style="210" bestFit="1" customWidth="1"/>
    <col min="5" max="5" width="13.28515625" style="210" bestFit="1" customWidth="1"/>
    <col min="6" max="6" width="15.42578125" style="210" bestFit="1" customWidth="1"/>
    <col min="7" max="7" width="11.42578125" style="210" bestFit="1" customWidth="1"/>
    <col min="8" max="8" width="11.42578125" style="210" customWidth="1"/>
    <col min="9" max="9" width="19.42578125" style="210" customWidth="1"/>
    <col min="10" max="10" width="7.7109375" style="210" customWidth="1"/>
    <col min="11" max="11" width="10.28515625" style="210" bestFit="1" customWidth="1"/>
    <col min="12" max="12" width="8.7109375" style="210" bestFit="1" customWidth="1"/>
    <col min="13" max="13" width="20.42578125" style="210" customWidth="1"/>
    <col min="14" max="14" width="19.140625" style="210" customWidth="1"/>
    <col min="15" max="16" width="12.42578125" style="210" customWidth="1"/>
    <col min="17" max="17" width="16.28515625" style="210" customWidth="1"/>
    <col min="18" max="20" width="13.42578125" style="210" bestFit="1" customWidth="1"/>
    <col min="21" max="21" width="17" style="210" customWidth="1"/>
    <col min="22" max="22" width="12.7109375" style="210" bestFit="1" customWidth="1"/>
    <col min="23" max="16384" width="11.42578125" style="210"/>
  </cols>
  <sheetData>
    <row r="1" spans="1:40" ht="16.5" thickBot="1" x14ac:dyDescent="0.3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47"/>
      <c r="R1" s="347"/>
      <c r="S1" s="347"/>
      <c r="T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</row>
    <row r="2" spans="1:40" ht="13.5" thickBot="1" x14ac:dyDescent="0.25">
      <c r="H2" s="340" t="s">
        <v>67</v>
      </c>
      <c r="I2" s="341"/>
      <c r="J2" s="341"/>
      <c r="K2" s="341"/>
      <c r="L2" s="341"/>
      <c r="M2" s="341"/>
      <c r="N2" s="341"/>
      <c r="O2" s="342"/>
      <c r="P2" s="340" t="s">
        <v>68</v>
      </c>
      <c r="Q2" s="341" t="s">
        <v>68</v>
      </c>
      <c r="R2" s="341"/>
      <c r="S2" s="341"/>
      <c r="T2" s="341"/>
      <c r="U2" s="341"/>
      <c r="V2" s="341"/>
      <c r="W2" s="342"/>
    </row>
    <row r="3" spans="1:40" s="213" customFormat="1" ht="19.5" customHeight="1" thickBot="1" x14ac:dyDescent="0.25">
      <c r="B3" s="345" t="s">
        <v>115</v>
      </c>
      <c r="C3" s="351" t="s">
        <v>24</v>
      </c>
      <c r="D3" s="348" t="s">
        <v>117</v>
      </c>
      <c r="E3" s="349"/>
      <c r="F3" s="349"/>
      <c r="G3" s="350"/>
      <c r="H3" s="353" t="s">
        <v>10</v>
      </c>
      <c r="I3" s="335" t="s">
        <v>86</v>
      </c>
      <c r="J3" s="336"/>
      <c r="K3" s="336"/>
      <c r="L3" s="337"/>
      <c r="M3" s="333" t="s">
        <v>116</v>
      </c>
      <c r="N3" s="333" t="s">
        <v>85</v>
      </c>
      <c r="O3" s="333" t="s">
        <v>114</v>
      </c>
      <c r="P3" s="353" t="s">
        <v>10</v>
      </c>
      <c r="Q3" s="335" t="s">
        <v>86</v>
      </c>
      <c r="R3" s="336"/>
      <c r="S3" s="336"/>
      <c r="T3" s="337"/>
      <c r="U3" s="333" t="s">
        <v>116</v>
      </c>
      <c r="V3" s="333" t="s">
        <v>85</v>
      </c>
      <c r="W3" s="333" t="s">
        <v>114</v>
      </c>
    </row>
    <row r="4" spans="1:40" s="213" customFormat="1" ht="32.25" customHeight="1" thickBot="1" x14ac:dyDescent="0.25">
      <c r="B4" s="346"/>
      <c r="C4" s="352"/>
      <c r="D4" s="12" t="s">
        <v>84</v>
      </c>
      <c r="E4" s="12" t="s">
        <v>83</v>
      </c>
      <c r="F4" s="12" t="s">
        <v>82</v>
      </c>
      <c r="G4" s="32" t="s">
        <v>81</v>
      </c>
      <c r="H4" s="354"/>
      <c r="I4" s="69" t="s">
        <v>80</v>
      </c>
      <c r="J4" s="69" t="s">
        <v>79</v>
      </c>
      <c r="K4" s="69" t="s">
        <v>78</v>
      </c>
      <c r="L4" s="69" t="s">
        <v>77</v>
      </c>
      <c r="M4" s="334"/>
      <c r="N4" s="334"/>
      <c r="O4" s="334"/>
      <c r="P4" s="354"/>
      <c r="Q4" s="69" t="s">
        <v>80</v>
      </c>
      <c r="R4" s="69" t="s">
        <v>79</v>
      </c>
      <c r="S4" s="69" t="s">
        <v>78</v>
      </c>
      <c r="T4" s="69" t="s">
        <v>77</v>
      </c>
      <c r="U4" s="334"/>
      <c r="V4" s="334"/>
      <c r="W4" s="334"/>
    </row>
    <row r="5" spans="1:40" x14ac:dyDescent="0.2">
      <c r="B5" s="144">
        <v>44470</v>
      </c>
      <c r="C5" s="144" t="s">
        <v>120</v>
      </c>
      <c r="D5" s="304">
        <f>+VLOOKUP(DATE(YEAR(B5),MONTH(B5)-2,1),Indices!$B:$F,2,0)</f>
        <v>779.83</v>
      </c>
      <c r="E5" s="305">
        <f>+VLOOKUP(DATE(YEAR(B5),MONTH(B5)-7,1),Indices!$B:$F,4,0)</f>
        <v>232.1</v>
      </c>
      <c r="F5" s="305">
        <f>+VLOOKUP(DATE(YEAR(B5),MONTH(B5)-7,1),Indices!$B:$F,5,0)</f>
        <v>215</v>
      </c>
      <c r="G5" s="304">
        <f>+VLOOKUP(DATE(YEAR(B5),MONTH(B5)-2,1),Indices!$B:$F,3,0)</f>
        <v>110.15</v>
      </c>
      <c r="H5" s="306" t="s">
        <v>48</v>
      </c>
      <c r="I5" s="304">
        <f>(VLOOKUP(B5,Parámetros!$C:$Q,5,0)*E5/Indices!$P$7+VLOOKUP(B5,Parámetros!$C:$Q,6,0)*F5/Indices!$Q$7+VLOOKUP(B5,Parámetros!$C:$Q,7,0)*G5/Indices!$R$7*Indices!$O$7/D5)*Parámetros!F9</f>
        <v>572.78743745306804</v>
      </c>
      <c r="J5" s="304">
        <f>+(VLOOKUP($B5,Parámetros!$C:$L,9,0)*F5/Indices!$Q$7+VLOOKUP($B5,Parámetros!$C:$L,10,0)*Indices!$O$7/D5*G5/Indices!$R$7)*Parámetros!J9</f>
        <v>77.718456884829394</v>
      </c>
      <c r="K5" s="304">
        <f>+(VLOOKUP(B5,Parámetros!$C:$O,12,0)*F5/Indices!$Q$7+VLOOKUP(B5,Parámetros!$C:$O,13,0)*Indices!$O$7/D5*G5/Indices!$R$7)*Parámetros!M9</f>
        <v>12.649774386350925</v>
      </c>
      <c r="L5" s="304">
        <f>+Parámetros!P9*Indices!$O$7/D5*G5/Indices!$R$7</f>
        <v>1.172574159835118</v>
      </c>
      <c r="M5" s="304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4">
        <f>+VLOOKUP($B5,Parámetros!$C:$AL,15,0)</f>
        <v>5803.92</v>
      </c>
      <c r="O5" s="307">
        <f t="shared" ref="O5:O10" si="0">+M5/N5-1</f>
        <v>7.2227046547850282E-2</v>
      </c>
      <c r="P5" s="306" t="s">
        <v>56</v>
      </c>
      <c r="Q5" s="304">
        <f>(VLOOKUP(B5,Parámetros!$C:$AL,20,0)*E5/Indices!$P$7+VLOOKUP(B5,Parámetros!$C:$AL,21,0)*F5/Indices!$Q$7+VLOOKUP(B5,Parámetros!$C:$AL,22,0)*G5/Indices!$R$7*Indices!$O$7/D5)*Parámetros!U9</f>
        <v>549.55450297933044</v>
      </c>
      <c r="R5" s="304">
        <f>+(VLOOKUP(B5,Parámetros!$C:$AL,24,0)*F5/Indices!$Q$7+VLOOKUP(B5,Parámetros!$C:$AL,25,0)*Indices!$O$7/D5*G5/Indices!$R$7)*Parámetros!Y9</f>
        <v>72.482455095938818</v>
      </c>
      <c r="S5" s="304">
        <f>+(VLOOKUP(B5,Parámetros!$C:$AL,27,0)*F5/Indices!$Q$7+VLOOKUP(B5,Parámetros!$C:$AL,28,0)*Indices!$O$7/D5*G5/Indices!$R$7)*Parámetros!AB9</f>
        <v>8.1918416667118308</v>
      </c>
      <c r="T5" s="304">
        <f>Parámetros!AE9*Indices!$O$7/D5*G5/Indices!$R$7</f>
        <v>1.0094518286566101</v>
      </c>
      <c r="U5" s="304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4">
        <f>+VLOOKUP($B5,Parámetros!$C:$AL,30,0)</f>
        <v>5418.16</v>
      </c>
      <c r="W5" s="307">
        <f>+U5/V5-1</f>
        <v>7.5019932966173153E-2</v>
      </c>
    </row>
    <row r="6" spans="1:40" x14ac:dyDescent="0.2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6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0">
        <f t="shared" ref="W10:W15" si="2">+U10/V10-1</f>
        <v>0</v>
      </c>
      <c r="X10" s="268"/>
    </row>
    <row r="11" spans="1:40" x14ac:dyDescent="0.2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0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0">
        <f>+VLOOKUP($B17,Parámetros!$C:$AL,15,0)</f>
        <v>6974.43</v>
      </c>
      <c r="O17" s="291">
        <f t="shared" si="6"/>
        <v>7.248477653370955E-2</v>
      </c>
      <c r="P17" s="292" t="s">
        <v>56</v>
      </c>
      <c r="Q17" s="290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0">
        <f>+(VLOOKUP(B17,Parámetros!$C:$AL,24,0)*F17/Indices!$Q$7+VLOOKUP(B17,Parámetros!$C:$AL,25,0)*Indices!$O$7/D17*G17/Indices!$R$7)*Parámetros!Y21</f>
        <v>81.872162630067251</v>
      </c>
      <c r="S17" s="290">
        <f>+(VLOOKUP(B17,Parámetros!$C:$AL,27,0)*F17/Indices!$Q$7+VLOOKUP(B17,Parámetros!$C:$AL,28,0)*Indices!$O$7/D17*G17/Indices!$R$7)*Parámetros!AB21</f>
        <v>8.2898057413822581</v>
      </c>
      <c r="T17" s="290">
        <f>Parámetros!AE21*Indices!$O$7/D17*G17/Indices!$R$7</f>
        <v>0.99310714902436381</v>
      </c>
      <c r="U17" s="290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3">
        <f t="shared" ref="W18" si="9">+U18/V18-1</f>
        <v>0.10723598036455351</v>
      </c>
    </row>
    <row r="19" spans="2:31" x14ac:dyDescent="0.2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0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0">
        <f>+VLOOKUP($B19,Parámetros!$C:$AL,15,0)</f>
        <v>7940</v>
      </c>
      <c r="O19" s="291">
        <f t="shared" si="6"/>
        <v>0</v>
      </c>
      <c r="P19" s="292" t="s">
        <v>56</v>
      </c>
      <c r="Q19" s="290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0">
        <f>+(VLOOKUP(B19,Parámetros!$C:$AL,24,0)*F19/Indices!$Q$7+VLOOKUP(B19,Parámetros!$C:$AL,25,0)*Indices!$O$7/D19*G19/Indices!$R$7)*Parámetros!Y23</f>
        <v>83.725384275160735</v>
      </c>
      <c r="S19" s="290">
        <f>+(VLOOKUP(B19,Parámetros!$C:$AL,27,0)*F19/Indices!$Q$7+VLOOKUP(B19,Parámetros!$C:$AL,28,0)*Indices!$O$7/D19*G19/Indices!$R$7)*Parámetros!AB23</f>
        <v>8.0648369799851078</v>
      </c>
      <c r="T19" s="290">
        <f>Parámetros!AE23*Indices!$O$7/D19*G19/Indices!$R$7</f>
        <v>0.95256941585060106</v>
      </c>
      <c r="U19" s="290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4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4">
        <f>+VLOOKUP($B20,Parámetros!$C:$AL,15,0)</f>
        <v>7940</v>
      </c>
      <c r="O20" s="303">
        <f>+M20/N20-1</f>
        <v>-1.8871536523929477E-2</v>
      </c>
      <c r="P20" s="295" t="s">
        <v>56</v>
      </c>
      <c r="Q20" s="294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4">
        <f>+(VLOOKUP(B20,Parámetros!$C:$AL,24,0)*F20/Indices!$Q$7+VLOOKUP(B20,Parámetros!$C:$AL,25,0)*Indices!$O$7/D20*G20/Indices!$R$7)*Parámetros!Y24</f>
        <v>86.520863140991509</v>
      </c>
      <c r="S20" s="294">
        <f>+(VLOOKUP(B20,Parámetros!$C:$AL,27,0)*F20/Indices!$Q$7+VLOOKUP(B20,Parámetros!$C:$AL,28,0)*Indices!$O$7/D20*G20/Indices!$R$7)*Parámetros!AB24</f>
        <v>8.4532957100738297</v>
      </c>
      <c r="T20" s="294">
        <f>Parámetros!AE24*Indices!$O$7/D20*G20/Indices!$R$7</f>
        <v>1.0025771711145981</v>
      </c>
      <c r="U20" s="294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0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0">
        <f>+VLOOKUP($B21,Parámetros!$C:$AL,15,0)</f>
        <v>7940</v>
      </c>
      <c r="O21" s="291">
        <f t="shared" ref="O21" si="12">+M21/N21-1</f>
        <v>-5.0361460957178861E-2</v>
      </c>
      <c r="P21" s="292" t="s">
        <v>56</v>
      </c>
      <c r="Q21" s="290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0">
        <f>+(VLOOKUP(B21,Parámetros!$C:$AL,24,0)*F21/Indices!$Q$7+VLOOKUP(B21,Parámetros!$C:$AL,25,0)*Indices!$O$7/D21*G21/Indices!$R$7)*Parámetros!Y25</f>
        <v>86.064212709614949</v>
      </c>
      <c r="S21" s="290">
        <f>+(VLOOKUP(B21,Parámetros!$C:$AL,27,0)*F21/Indices!$Q$7+VLOOKUP(B21,Parámetros!$C:$AL,28,0)*Indices!$O$7/D21*G21/Indices!$R$7)*Parámetros!AB25</f>
        <v>8.7733840690660205</v>
      </c>
      <c r="T21" s="290">
        <f>Parámetros!AE25*Indices!$O$7/D21*G21/Indices!$R$7</f>
        <v>1.0529859149387084</v>
      </c>
      <c r="U21" s="290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x14ac:dyDescent="0.2">
      <c r="B22" s="194">
        <v>44986</v>
      </c>
      <c r="C22" s="194" t="s">
        <v>129</v>
      </c>
      <c r="D22" s="227">
        <f>+VLOOKUP(DATE(YEAR(B22),MONTH(B22)-2,1),Indices!$B:$F,2,0)</f>
        <v>826.34</v>
      </c>
      <c r="E22" s="258">
        <f>+VLOOKUP(DATE(YEAR(B22),MONTH(B22)-7,1),Indices!$B:$F,4,0)</f>
        <v>246.82900000000001</v>
      </c>
      <c r="F22" s="258">
        <f>+VLOOKUP(DATE(YEAR(B22),MONTH(B22)-7,1),Indices!$B:$F,5,0)</f>
        <v>269.54599999999999</v>
      </c>
      <c r="G22" s="227">
        <f>+VLOOKUP(DATE(YEAR(B22),MONTH(B22)-2,1),Indices!$B:$F,3,0)</f>
        <v>130.05000000000001</v>
      </c>
      <c r="H22" s="232" t="s">
        <v>48</v>
      </c>
      <c r="I22" s="227">
        <f>(VLOOKUP(B22,Parámetros!$C:$Q,5,0)*E22/Indices!$P$7+VLOOKUP(B22,Parámetros!$C:$Q,6,0)*F22/Indices!$Q$7+VLOOKUP(B22,Parámetros!$C:$Q,7,0)*G22/Indices!$R$7*Indices!$O$7/D22)*Parámetros!F26</f>
        <v>622.02453520742483</v>
      </c>
      <c r="J22" s="227">
        <f>+(VLOOKUP($B22,Parámetros!$C:$L,9,0)*F22/Indices!$Q$7+VLOOKUP($B22,Parámetros!$C:$L,10,0)*Indices!$O$7/D22*G22/Indices!$R$7)*Parámetros!J26</f>
        <v>92.591592496580986</v>
      </c>
      <c r="K22" s="227">
        <f>+(VLOOKUP(B22,Parámetros!$C:$O,12,0)*F22/Indices!$Q$7+VLOOKUP(B22,Parámetros!$C:$O,13,0)*Indices!$O$7/D22*G22/Indices!$R$7)*Parámetros!M26</f>
        <v>14.367440094818486</v>
      </c>
      <c r="L22" s="227">
        <f>+Parámetros!P26*Indices!$O$7/D22*G22/Indices!$R$7</f>
        <v>1.3064937516001256</v>
      </c>
      <c r="M22" s="294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4">
        <f>+VLOOKUP($B22,Parámetros!$C:$AL,15,0)</f>
        <v>7940</v>
      </c>
      <c r="O22" s="303">
        <f>+M22/N22-1</f>
        <v>-8.5624685138539047E-2</v>
      </c>
      <c r="P22" s="295" t="s">
        <v>56</v>
      </c>
      <c r="Q22" s="294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4">
        <f>+(VLOOKUP(B22,Parámetros!$C:$AL,24,0)*F22/Indices!$Q$7+VLOOKUP(B22,Parámetros!$C:$AL,25,0)*Indices!$O$7/D22*G22/Indices!$R$7)*Parámetros!Y26</f>
        <v>87.293338065548937</v>
      </c>
      <c r="S22" s="294">
        <f>+(VLOOKUP(B22,Parámetros!$C:$AL,27,0)*F22/Indices!$Q$7+VLOOKUP(B22,Parámetros!$C:$AL,28,0)*Indices!$O$7/D22*G22/Indices!$R$7)*Parámetros!AB26</f>
        <v>9.2700431645128116</v>
      </c>
      <c r="T22" s="294">
        <f>Parámetros!AE26*Indices!$O$7/D22*G22/Indices!$R$7</f>
        <v>1.124741233310677</v>
      </c>
      <c r="U22" s="294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7">
        <f>+VLOOKUP($B22,Parámetros!$C:$AL,30,0)</f>
        <v>7465.69</v>
      </c>
      <c r="W22" s="230">
        <f t="shared" ref="W22:W23" si="13">+U22/V22-1</f>
        <v>-8.9471971110506754E-2</v>
      </c>
    </row>
    <row r="23" spans="2:31" x14ac:dyDescent="0.2">
      <c r="B23" s="38">
        <v>45017</v>
      </c>
      <c r="C23" s="38" t="s">
        <v>131</v>
      </c>
      <c r="D23" s="233">
        <f>+VLOOKUP(DATE(YEAR(B23),MONTH(B23)-2,1),Indices!$B:$F,2,0)</f>
        <v>798.26</v>
      </c>
      <c r="E23" s="228">
        <f>+VLOOKUP(DATE(YEAR(B23),MONTH(B23)-7,1),Indices!$B:$F,4,0)</f>
        <v>245.03399999999999</v>
      </c>
      <c r="F23" s="228">
        <f>+VLOOKUP(DATE(YEAR(B23),MONTH(B23)-7,1),Indices!$B:$F,5,0)</f>
        <v>267.89800000000002</v>
      </c>
      <c r="G23" s="233">
        <f>+VLOOKUP(DATE(YEAR(B23),MONTH(B23)-2,1),Indices!$B:$F,3,0)</f>
        <v>129.97</v>
      </c>
      <c r="H23" s="234" t="s">
        <v>48</v>
      </c>
      <c r="I23" s="233">
        <f>(VLOOKUP(B23,Parámetros!$C:$Q,5,0)*E23/Indices!$P$7+VLOOKUP(B23,Parámetros!$C:$Q,6,0)*F23/Indices!$Q$7+VLOOKUP(B23,Parámetros!$C:$Q,7,0)*G23/Indices!$R$7*Indices!$O$7/D23)*Parámetros!F27</f>
        <v>623.30906550767918</v>
      </c>
      <c r="J23" s="233">
        <f>+(VLOOKUP($B23,Parámetros!$C:$L,9,0)*F23/Indices!$Q$7+VLOOKUP($B23,Parámetros!$C:$L,10,0)*Indices!$O$7/D23*G23/Indices!$R$7)*Parámetros!J27</f>
        <v>93.598530610136109</v>
      </c>
      <c r="K23" s="233">
        <f>+(VLOOKUP(B23,Parámetros!$C:$O,12,0)*F23/Indices!$Q$7+VLOOKUP(B23,Parámetros!$C:$O,13,0)*Indices!$O$7/D23*G23/Indices!$R$7)*Parámetros!M27</f>
        <v>14.763962275397718</v>
      </c>
      <c r="L23" s="233">
        <f>+Parámetros!P27*Indices!$O$7/D23*G23/Indices!$R$7</f>
        <v>1.3516196827411546</v>
      </c>
      <c r="M23" s="290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290">
        <f>+VLOOKUP($B23,Parámetros!$C:$AL,15,0)</f>
        <v>7790.34</v>
      </c>
      <c r="O23" s="291">
        <f t="shared" ref="O23" si="14">+M23/N23-1</f>
        <v>-9.1918966309557759E-2</v>
      </c>
      <c r="P23" s="292" t="s">
        <v>56</v>
      </c>
      <c r="Q23" s="290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290">
        <f>+(VLOOKUP(B23,Parámetros!$C:$AL,24,0)*F23/Indices!$Q$7+VLOOKUP(B23,Parámetros!$C:$AL,25,0)*Indices!$O$7/D23*G23/Indices!$R$7)*Parámetros!Y27</f>
        <v>87.921523718922074</v>
      </c>
      <c r="S23" s="290">
        <f>+(VLOOKUP(B23,Parámetros!$C:$AL,27,0)*F23/Indices!$Q$7+VLOOKUP(B23,Parámetros!$C:$AL,28,0)*Indices!$O$7/D23*G23/Indices!$R$7)*Parámetros!AB27</f>
        <v>9.538120407808016</v>
      </c>
      <c r="T23" s="290">
        <f>Parámetros!AE27*Indices!$O$7/D23*G23/Indices!$R$7</f>
        <v>1.1635894829740923</v>
      </c>
      <c r="U23" s="290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233">
        <f>+VLOOKUP($B23,Parámetros!$C:$AL,30,0)</f>
        <v>7318.15</v>
      </c>
      <c r="W23" s="235">
        <f t="shared" si="13"/>
        <v>-9.5828863852203128E-2</v>
      </c>
    </row>
    <row r="24" spans="2:31" x14ac:dyDescent="0.2">
      <c r="B24" s="194">
        <v>45047</v>
      </c>
      <c r="C24" s="194" t="s">
        <v>131</v>
      </c>
      <c r="D24" s="227">
        <f>+VLOOKUP(DATE(YEAR(B24),MONTH(B24)-2,1),Indices!$B:$F,2,0)</f>
        <v>809.5</v>
      </c>
      <c r="E24" s="258">
        <f>+VLOOKUP(DATE(YEAR(B24),MONTH(B24)-7,1),Indices!$B:$F,4,0)</f>
        <v>245.499</v>
      </c>
      <c r="F24" s="258">
        <f>+VLOOKUP(DATE(YEAR(B24),MONTH(B24)-7,1),Indices!$B:$F,5,0)</f>
        <v>265.06099999999998</v>
      </c>
      <c r="G24" s="227">
        <f>+VLOOKUP(DATE(YEAR(B24),MONTH(B24)-2,1),Indices!$B:$F,3,0)</f>
        <v>131.38</v>
      </c>
      <c r="H24" s="232" t="s">
        <v>48</v>
      </c>
      <c r="I24" s="227">
        <f>(VLOOKUP(B24,Parámetros!$C:$Q,5,0)*E24/Indices!$P$7+VLOOKUP(B24,Parámetros!$C:$Q,6,0)*F24/Indices!$Q$7+VLOOKUP(B24,Parámetros!$C:$Q,7,0)*G24/Indices!$R$7*Indices!$O$7/D24)*Parámetros!F28</f>
        <v>623.22641777015872</v>
      </c>
      <c r="J24" s="227">
        <f>+(VLOOKUP($B24,Parámetros!$C:$L,9,0)*F24/Indices!$Q$7+VLOOKUP($B24,Parámetros!$C:$L,10,0)*Indices!$O$7/D24*G24/Indices!$R$7)*Parámetros!J28</f>
        <v>92.903669681566072</v>
      </c>
      <c r="K24" s="227">
        <f>+(VLOOKUP(B24,Parámetros!$C:$O,12,0)*F24/Indices!$Q$7+VLOOKUP(B24,Parámetros!$C:$O,13,0)*Indices!$O$7/D24*G24/Indices!$R$7)*Parámetros!M28</f>
        <v>14.698859926016132</v>
      </c>
      <c r="L24" s="227">
        <f>+Parámetros!P28*Indices!$O$7/D24*G24/Indices!$R$7</f>
        <v>1.3473119468241239</v>
      </c>
      <c r="M24" s="294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4">
        <f>+VLOOKUP($B24,Parámetros!$C:$AL,15,0)</f>
        <v>7790.34</v>
      </c>
      <c r="O24" s="303">
        <f t="shared" ref="O24:O25" si="15">+M24/N24-1</f>
        <v>-8.0462470187437241E-2</v>
      </c>
      <c r="P24" s="295" t="s">
        <v>56</v>
      </c>
      <c r="Q24" s="294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4">
        <f>+(VLOOKUP(B24,Parámetros!$C:$AL,24,0)*F24/Indices!$Q$7+VLOOKUP(B24,Parámetros!$C:$AL,25,0)*Indices!$O$7/D24*G24/Indices!$R$7)*Parámetros!Y28</f>
        <v>87.209328735485144</v>
      </c>
      <c r="S24" s="294">
        <f>+(VLOOKUP(B24,Parámetros!$C:$AL,27,0)*F24/Indices!$Q$7+VLOOKUP(B24,Parámetros!$C:$AL,28,0)*Indices!$O$7/D24*G24/Indices!$R$7)*Parámetros!AB28</f>
        <v>9.4982911437829483</v>
      </c>
      <c r="T24" s="294">
        <f>Parámetros!AE28*Indices!$O$7/D24*G24/Indices!$R$7</f>
        <v>1.1598810165522946</v>
      </c>
      <c r="U24" s="294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7">
        <f>+VLOOKUP($B24,Parámetros!$C:$AL,30,0)</f>
        <v>7318.15</v>
      </c>
      <c r="W24" s="230">
        <f t="shared" ref="W24:W25" si="16">+U24/V24-1</f>
        <v>-8.4414776958657511E-2</v>
      </c>
    </row>
    <row r="25" spans="2:31" x14ac:dyDescent="0.2">
      <c r="B25" s="38">
        <v>45078</v>
      </c>
      <c r="C25" s="38" t="s">
        <v>131</v>
      </c>
      <c r="D25" s="233">
        <f>+VLOOKUP(DATE(YEAR(B25),MONTH(B25)-2,1),Indices!$B:$F,2,0)</f>
        <v>803.84</v>
      </c>
      <c r="E25" s="228">
        <f>+VLOOKUP(DATE(YEAR(B25),MONTH(B25)-7,1),Indices!$B:$F,4,0)</f>
        <v>245.959</v>
      </c>
      <c r="F25" s="228">
        <f>+VLOOKUP(DATE(YEAR(B25),MONTH(B25)-7,1),Indices!$B:$F,5,0)</f>
        <v>263.15699999999998</v>
      </c>
      <c r="G25" s="233">
        <f>+VLOOKUP(DATE(YEAR(B25),MONTH(B25)-2,1),Indices!$B:$F,3,0)</f>
        <v>131.79</v>
      </c>
      <c r="H25" s="234" t="s">
        <v>48</v>
      </c>
      <c r="I25" s="233">
        <f>(VLOOKUP(B25,Parámetros!$C:$Q,5,0)*E25/Indices!$P$7+VLOOKUP(B25,Parámetros!$C:$Q,6,0)*F25/Indices!$Q$7+VLOOKUP(B25,Parámetros!$C:$Q,7,0)*G25/Indices!$R$7*Indices!$O$7/D25)*Parámetros!F29</f>
        <v>625.18592682520273</v>
      </c>
      <c r="J25" s="233">
        <f>+(VLOOKUP($B25,Parámetros!$C:$L,9,0)*F25/Indices!$Q$7+VLOOKUP($B25,Parámetros!$C:$L,10,0)*Indices!$O$7/D25*G25/Indices!$R$7)*Parámetros!J29</f>
        <v>92.929313026453713</v>
      </c>
      <c r="K25" s="233">
        <f>+(VLOOKUP(B25,Parámetros!$C:$O,12,0)*F25/Indices!$Q$7+VLOOKUP(B25,Parámetros!$C:$O,13,0)*Indices!$O$7/D25*G25/Indices!$R$7)*Parámetros!M29</f>
        <v>14.806658104427713</v>
      </c>
      <c r="L25" s="233">
        <f>+Parámetros!P29*Indices!$O$7/D25*G25/Indices!$R$7</f>
        <v>1.3610328293685718</v>
      </c>
      <c r="M25" s="290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290">
        <f>+VLOOKUP($B25,Parámetros!$C:$AL,15,0)</f>
        <v>7790.34</v>
      </c>
      <c r="O25" s="291">
        <f t="shared" si="15"/>
        <v>-8.3136294436443103E-2</v>
      </c>
      <c r="P25" s="292" t="s">
        <v>56</v>
      </c>
      <c r="Q25" s="290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290">
        <f>+(VLOOKUP(B25,Parámetros!$C:$AL,24,0)*F25/Indices!$Q$7+VLOOKUP(B25,Parámetros!$C:$AL,25,0)*Indices!$O$7/D25*G25/Indices!$R$7)*Parámetros!Y29</f>
        <v>87.094748166375524</v>
      </c>
      <c r="S25" s="290">
        <f>+(VLOOKUP(B25,Parámetros!$C:$AL,27,0)*F25/Indices!$Q$7+VLOOKUP(B25,Parámetros!$C:$AL,28,0)*Indices!$O$7/D25*G25/Indices!$R$7)*Parámetros!AB29</f>
        <v>9.5731309641241964</v>
      </c>
      <c r="T25" s="290">
        <f>Parámetros!AE29*Indices!$O$7/D25*G25/Indices!$R$7</f>
        <v>1.1716931223019413</v>
      </c>
      <c r="U25" s="290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233">
        <f>+VLOOKUP($B25,Parámetros!$C:$AL,30,0)</f>
        <v>7318.15</v>
      </c>
      <c r="W25" s="235">
        <f t="shared" si="16"/>
        <v>-8.7344479137486886E-2</v>
      </c>
    </row>
    <row r="26" spans="2:31" x14ac:dyDescent="0.2">
      <c r="B26" s="194">
        <v>45108</v>
      </c>
      <c r="C26" s="194" t="s">
        <v>131</v>
      </c>
      <c r="D26" s="227">
        <f>+VLOOKUP(DATE(YEAR(B26),MONTH(B26)-2,1),Indices!$B:$F,2,0)</f>
        <v>798.64</v>
      </c>
      <c r="E26" s="258">
        <f>+VLOOKUP(DATE(YEAR(B26),MONTH(B26)-7,1),Indices!$B:$F,4,0)</f>
        <v>246.518</v>
      </c>
      <c r="F26" s="258">
        <f>+VLOOKUP(DATE(YEAR(B26),MONTH(B26)-7,1),Indices!$B:$F,5,0)</f>
        <v>257.89699999999999</v>
      </c>
      <c r="G26" s="227">
        <f>+VLOOKUP(DATE(YEAR(B26),MONTH(B26)-2,1),Indices!$B:$F,3,0)</f>
        <v>131.94</v>
      </c>
      <c r="H26" s="232" t="s">
        <v>48</v>
      </c>
      <c r="I26" s="227">
        <f>(VLOOKUP(B26,Parámetros!$C:$Q,5,0)*E26/Indices!$P$7+VLOOKUP(B26,Parámetros!$C:$Q,6,0)*F26/Indices!$Q$7+VLOOKUP(B26,Parámetros!$C:$Q,7,0)*G26/Indices!$R$7*Indices!$O$7/D26)*Parámetros!F30</f>
        <v>626.43154969893044</v>
      </c>
      <c r="J26" s="227">
        <f>+(VLOOKUP($B26,Parámetros!$C:$L,9,0)*F26/Indices!$Q$7+VLOOKUP($B26,Parámetros!$C:$L,10,0)*Indices!$O$7/D26*G26/Indices!$R$7)*Parámetros!J30</f>
        <v>92.186164941107478</v>
      </c>
      <c r="K26" s="227">
        <f>+(VLOOKUP(B26,Parámetros!$C:$O,12,0)*F26/Indices!$Q$7+VLOOKUP(B26,Parámetros!$C:$O,13,0)*Indices!$O$7/D26*G26/Indices!$R$7)*Parámetros!M30</f>
        <v>14.853821299723021</v>
      </c>
      <c r="L26" s="227">
        <f>+Parámetros!P30*Indices!$O$7/D26*G26/Indices!$R$7</f>
        <v>1.3714537867126408</v>
      </c>
      <c r="M26" s="294">
        <f>+ROUND(ROUND(((I26*VLOOKUP($B26,Parámetros!$C:$AL,33,0)+J26*VLOOKUP($B26,Parámetros!$C:$AL,34,0)+K26*VLOOKUP($B26,Parámetros!$C:$AL,35,0))*VLOOKUP($B26,Parámetros!$C:$AL,36,0)+L26)*(VLOOKUP($B26,Parámetros!$C:$AL,16,0))*(VLOOKUP($B26,Parámetros!$C:$AL,17,0)),Indices!$T$7)*D26,Indices!$U$7)</f>
        <v>7110.53</v>
      </c>
      <c r="N26" s="294">
        <f>+VLOOKUP($B26,Parámetros!$C:$AL,15,0)</f>
        <v>7790.34</v>
      </c>
      <c r="O26" s="303">
        <f t="shared" ref="O26:O27" si="17">+M26/N26-1</f>
        <v>-8.7263200322450718E-2</v>
      </c>
      <c r="P26" s="295" t="s">
        <v>56</v>
      </c>
      <c r="Q26" s="294">
        <f>(VLOOKUP(B26,Parámetros!$C:$AL,20,0)*E26/Indices!$P$7+VLOOKUP(B26,Parámetros!$C:$AL,21,0)*F26/Indices!$Q$7+VLOOKUP(B26,Parámetros!$C:$AL,22,0)*G26/Indices!$R$7*Indices!$O$7/D26)*Parámetros!U30</f>
        <v>600.80403484658086</v>
      </c>
      <c r="R26" s="294">
        <f>+(VLOOKUP(B26,Parámetros!$C:$AL,24,0)*F26/Indices!$Q$7+VLOOKUP(B26,Parámetros!$C:$AL,25,0)*Indices!$O$7/D26*G26/Indices!$R$7)*Parámetros!Y30</f>
        <v>86.176969495209221</v>
      </c>
      <c r="S26" s="294">
        <f>+(VLOOKUP(B26,Parámetros!$C:$AL,27,0)*F26/Indices!$Q$7+VLOOKUP(B26,Parámetros!$C:$AL,28,0)*Indices!$O$7/D26*G26/Indices!$R$7)*Parámetros!AB30</f>
        <v>9.6118356457519738</v>
      </c>
      <c r="T26" s="294">
        <f>Parámetros!AE30*Indices!$O$7/D26*G26/Indices!$R$7</f>
        <v>1.1806643710362661</v>
      </c>
      <c r="U26" s="294">
        <f>+ROUND(ROUND(((Q26*VLOOKUP($B26,Parámetros!$C:$AL,33,0)+R26*VLOOKUP($B26,Parámetros!$C:$AL,34,0)+S26*VLOOKUP($B26,Parámetros!$C:$AL,35,0))*VLOOKUP($B26,Parámetros!$C:$AL,36,0)+T26)*(VLOOKUP($B26,Parámetros!$C:$AL,31,0))*(VLOOKUP($B26,Parámetros!$C:$AL,32,0)),Indices!$T$7)*D26,Indices!$U$7)</f>
        <v>6646.6</v>
      </c>
      <c r="V26" s="227">
        <f>+VLOOKUP($B26,Parámetros!$C:$AL,30,0)</f>
        <v>7318.15</v>
      </c>
      <c r="W26" s="230">
        <f t="shared" ref="W26:W27" si="18">+U26/V26-1</f>
        <v>-9.1764995251532033E-2</v>
      </c>
    </row>
    <row r="27" spans="2:31" x14ac:dyDescent="0.2">
      <c r="B27" s="38">
        <v>45139</v>
      </c>
      <c r="C27" s="38" t="s">
        <v>132</v>
      </c>
      <c r="D27" s="233">
        <f>+VLOOKUP(DATE(YEAR(B27),MONTH(B27)-2,1),Indices!$B:$F,2,0)</f>
        <v>799.87</v>
      </c>
      <c r="E27" s="228">
        <f>+VLOOKUP(DATE(YEAR(B27),MONTH(B27)-7,1),Indices!$B:$F,4,0)</f>
        <v>247.08099999999999</v>
      </c>
      <c r="F27" s="228">
        <f>+VLOOKUP(DATE(YEAR(B27),MONTH(B27)-7,1),Indices!$B:$F,5,0)</f>
        <v>260.22699999999998</v>
      </c>
      <c r="G27" s="233">
        <f>+VLOOKUP(DATE(YEAR(B27),MONTH(B27)-2,1),Indices!$B:$F,3,0)</f>
        <v>131.74</v>
      </c>
      <c r="H27" s="234" t="s">
        <v>48</v>
      </c>
      <c r="I27" s="233">
        <f>(VLOOKUP(B27,Parámetros!$C:$Q,5,0)*E27/Indices!$P$7+VLOOKUP(B27,Parámetros!$C:$Q,6,0)*F27/Indices!$Q$7+VLOOKUP(B27,Parámetros!$C:$Q,7,0)*G27/Indices!$R$7*Indices!$O$7/D27)*Parámetros!F31</f>
        <v>627.37264765253076</v>
      </c>
      <c r="J27" s="233">
        <f>+(VLOOKUP($B27,Parámetros!$C:$L,9,0)*F27/Indices!$Q$7+VLOOKUP($B27,Parámetros!$C:$L,10,0)*Indices!$O$7/D27*G27/Indices!$R$7)*Parámetros!J31</f>
        <v>92.5281326010724</v>
      </c>
      <c r="K27" s="233">
        <f>+(VLOOKUP(B27,Parámetros!$C:$O,12,0)*F27/Indices!$Q$7+VLOOKUP(B27,Parámetros!$C:$O,13,0)*Indices!$O$7/D27*G27/Indices!$R$7)*Parámetros!M31</f>
        <v>14.83686431769207</v>
      </c>
      <c r="L27" s="233">
        <f>+Parámetros!P31*Indices!$O$7/D27*G27/Indices!$R$7</f>
        <v>1.3672691254071905</v>
      </c>
      <c r="M27" s="290">
        <f>+ROUND(ROUND(((I27*VLOOKUP($B27,Parámetros!$C:$AL,33,0)+J27*VLOOKUP($B27,Parámetros!$C:$AL,34,0)+K27*VLOOKUP($B27,Parámetros!$C:$AL,35,0))*VLOOKUP($B27,Parámetros!$C:$AL,36,0)+L27)*(VLOOKUP($B27,Parámetros!$C:$AL,16,0))*(VLOOKUP($B27,Parámetros!$C:$AL,17,0)),Indices!$T$7)*D27,Indices!$U$7)</f>
        <v>7127.88</v>
      </c>
      <c r="N27" s="290">
        <f>+VLOOKUP($B27,Parámetros!$C:$AL,15,0)</f>
        <v>7127.88</v>
      </c>
      <c r="O27" s="291">
        <f t="shared" si="17"/>
        <v>0</v>
      </c>
      <c r="P27" s="292" t="s">
        <v>56</v>
      </c>
      <c r="Q27" s="290">
        <f>(VLOOKUP(B27,Parámetros!$C:$AL,20,0)*E27/Indices!$P$7+VLOOKUP(B27,Parámetros!$C:$AL,21,0)*F27/Indices!$Q$7+VLOOKUP(B27,Parámetros!$C:$AL,22,0)*G27/Indices!$R$7*Indices!$O$7/D27)*Parámetros!U31</f>
        <v>601.7218965396878</v>
      </c>
      <c r="R27" s="290">
        <f>+(VLOOKUP(B27,Parámetros!$C:$AL,24,0)*F27/Indices!$Q$7+VLOOKUP(B27,Parámetros!$C:$AL,25,0)*Indices!$O$7/D27*G27/Indices!$R$7)*Parámetros!Y31</f>
        <v>86.592952614987453</v>
      </c>
      <c r="S27" s="290">
        <f>+(VLOOKUP(B27,Parámetros!$C:$AL,27,0)*F27/Indices!$Q$7+VLOOKUP(B27,Parámetros!$C:$AL,28,0)*Indices!$O$7/D27*G27/Indices!$R$7)*Parámetros!AB31</f>
        <v>9.597328912855323</v>
      </c>
      <c r="T27" s="290">
        <f>Parámetros!AE31*Indices!$O$7/D27*G27/Indices!$R$7</f>
        <v>1.1770618577353682</v>
      </c>
      <c r="U27" s="290">
        <f>+ROUND(ROUND(((Q27*VLOOKUP($B27,Parámetros!$C:$AL,33,0)+R27*VLOOKUP($B27,Parámetros!$C:$AL,34,0)+S27*VLOOKUP($B27,Parámetros!$C:$AL,35,0))*VLOOKUP($B27,Parámetros!$C:$AL,36,0)+T27)*(VLOOKUP($B27,Parámetros!$C:$AL,31,0))*(VLOOKUP($B27,Parámetros!$C:$AL,32,0)),Indices!$T$7)*D27,Indices!$U$7)</f>
        <v>6664.12</v>
      </c>
      <c r="V27" s="233">
        <f>+VLOOKUP($B27,Parámetros!$C:$AL,30,0)</f>
        <v>6664.12</v>
      </c>
      <c r="W27" s="235">
        <f t="shared" si="18"/>
        <v>0</v>
      </c>
    </row>
    <row r="28" spans="2:31" x14ac:dyDescent="0.2">
      <c r="B28" s="194">
        <v>45170</v>
      </c>
      <c r="C28" s="194" t="s">
        <v>132</v>
      </c>
      <c r="D28" s="227">
        <f>+VLOOKUP(DATE(YEAR(B28),MONTH(B28)-2,1),Indices!$B:$F,2,0)</f>
        <v>813.4</v>
      </c>
      <c r="E28" s="258">
        <f>+VLOOKUP(DATE(YEAR(B28),MONTH(B28)-7,1),Indices!$B:$F,4,0)</f>
        <v>247.839</v>
      </c>
      <c r="F28" s="258">
        <f>+VLOOKUP(DATE(YEAR(B28),MONTH(B28)-7,1),Indices!$B:$F,5,0)</f>
        <v>258.66899999999998</v>
      </c>
      <c r="G28" s="227">
        <f>+VLOOKUP(DATE(YEAR(B28),MONTH(B28)-2,1),Indices!$B:$F,3,0)</f>
        <v>132.19999999999999</v>
      </c>
      <c r="H28" s="232" t="s">
        <v>48</v>
      </c>
      <c r="I28" s="227">
        <f>(VLOOKUP(B28,Parámetros!$C:$Q,5,0)*E28/Indices!$P$7+VLOOKUP(B28,Parámetros!$C:$Q,6,0)*F28/Indices!$Q$7+VLOOKUP(B28,Parámetros!$C:$Q,7,0)*G28/Indices!$R$7*Indices!$O$7/D28)*Parámetros!F32</f>
        <v>626.57183356856581</v>
      </c>
      <c r="J28" s="227">
        <f>+(VLOOKUP($B28,Parámetros!$C:$L,9,0)*F28/Indices!$Q$7+VLOOKUP($B28,Parámetros!$C:$L,10,0)*Indices!$O$7/D28*G28/Indices!$R$7)*Parámetros!J32</f>
        <v>91.682072295270558</v>
      </c>
      <c r="K28" s="227">
        <f>+(VLOOKUP(B28,Parámetros!$C:$O,12,0)*F28/Indices!$Q$7+VLOOKUP(B28,Parámetros!$C:$O,13,0)*Indices!$O$7/D28*G28/Indices!$R$7)*Parámetros!M32</f>
        <v>14.658096617504761</v>
      </c>
      <c r="L28" s="227">
        <f>+Parámetros!P32*Indices!$O$7/D28*G28/Indices!$R$7</f>
        <v>1.3492208484941453</v>
      </c>
      <c r="M28" s="294">
        <f>+ROUND(ROUND(((I28*VLOOKUP($B28,Parámetros!$C:$AL,33,0)+J28*VLOOKUP($B28,Parámetros!$C:$AL,34,0)+K28*VLOOKUP($B28,Parámetros!$C:$AL,35,0))*VLOOKUP($B28,Parámetros!$C:$AL,36,0)+L28)*(VLOOKUP($B28,Parámetros!$C:$AL,16,0))*(VLOOKUP($B28,Parámetros!$C:$AL,17,0)),Indices!$T$7)*D28,Indices!$U$7)</f>
        <v>7217.79</v>
      </c>
      <c r="N28" s="294">
        <f>+VLOOKUP($B28,Parámetros!$C:$AL,15,0)</f>
        <v>7127.88</v>
      </c>
      <c r="O28" s="303">
        <f t="shared" ref="O28" si="19">+M28/N28-1</f>
        <v>1.2613848717991871E-2</v>
      </c>
      <c r="P28" s="295" t="s">
        <v>56</v>
      </c>
      <c r="Q28" s="294">
        <f>(VLOOKUP(B28,Parámetros!$C:$AL,20,0)*E28/Indices!$P$7+VLOOKUP(B28,Parámetros!$C:$AL,21,0)*F28/Indices!$Q$7+VLOOKUP(B28,Parámetros!$C:$AL,22,0)*G28/Indices!$R$7*Indices!$O$7/D28)*Parámetros!U32</f>
        <v>600.99380044943143</v>
      </c>
      <c r="R28" s="294">
        <f>+(VLOOKUP(B28,Parámetros!$C:$AL,24,0)*F28/Indices!$Q$7+VLOOKUP(B28,Parámetros!$C:$AL,25,0)*Indices!$O$7/D28*G28/Indices!$R$7)*Parámetros!Y32</f>
        <v>85.858769471000471</v>
      </c>
      <c r="S28" s="294">
        <f>+(VLOOKUP(B28,Parámetros!$C:$AL,27,0)*F28/Indices!$Q$7+VLOOKUP(B28,Parámetros!$C:$AL,28,0)*Indices!$O$7/D28*G28/Indices!$R$7)*Parámetros!AB32</f>
        <v>9.4795676431695188</v>
      </c>
      <c r="T28" s="294">
        <f>Parámetros!AE32*Indices!$O$7/D28*G28/Indices!$R$7</f>
        <v>1.16152436189243</v>
      </c>
      <c r="U28" s="294">
        <f>+ROUND(ROUND(((Q28*VLOOKUP($B28,Parámetros!$C:$AL,33,0)+R28*VLOOKUP($B28,Parámetros!$C:$AL,34,0)+S28*VLOOKUP($B28,Parámetros!$C:$AL,35,0))*VLOOKUP($B28,Parámetros!$C:$AL,36,0)+T28)*(VLOOKUP($B28,Parámetros!$C:$AL,31,0))*(VLOOKUP($B28,Parámetros!$C:$AL,32,0)),Indices!$T$7)*D28,Indices!$U$7)</f>
        <v>6750.33</v>
      </c>
      <c r="V28" s="227">
        <f>+VLOOKUP($B28,Parámetros!$C:$AL,30,0)</f>
        <v>6664.12</v>
      </c>
      <c r="W28" s="230">
        <f t="shared" ref="W28" si="20">+U28/V28-1</f>
        <v>1.2936441720737379E-2</v>
      </c>
    </row>
    <row r="29" spans="2:31" x14ac:dyDescent="0.2">
      <c r="B29" s="38">
        <v>45200</v>
      </c>
      <c r="C29" s="38" t="s">
        <v>135</v>
      </c>
      <c r="D29" s="233">
        <f>+VLOOKUP(DATE(YEAR(B29),MONTH(B29)-2,1),Indices!$B:$F,2,0)</f>
        <v>855.66</v>
      </c>
      <c r="E29" s="228">
        <f>+VLOOKUP(DATE(YEAR(B29),MONTH(B29)-7,1),Indices!$B:$F,4,0)</f>
        <v>255.92699999999999</v>
      </c>
      <c r="F29" s="228">
        <f>+VLOOKUP(DATE(YEAR(B29),MONTH(B29)-7,1),Indices!$B:$F,5,0)</f>
        <v>257.06200000000001</v>
      </c>
      <c r="G29" s="233">
        <f>+VLOOKUP(DATE(YEAR(B29),MONTH(B29)-2,1),Indices!$B:$F,3,0)</f>
        <v>132.35</v>
      </c>
      <c r="H29" s="234" t="s">
        <v>48</v>
      </c>
      <c r="I29" s="233">
        <f>(VLOOKUP(B29,Parámetros!$C:$Q,5,0)*E29/Indices!$P$7+VLOOKUP(B29,Parámetros!$C:$Q,6,0)*F29/Indices!$Q$7+VLOOKUP(B29,Parámetros!$C:$Q,7,0)*G29/Indices!$R$7*Indices!$O$7/D29)*Parámetros!F33</f>
        <v>633.88343615234237</v>
      </c>
      <c r="J29" s="233">
        <f>+(VLOOKUP($B29,Parámetros!$C:$L,9,0)*F29/Indices!$Q$7+VLOOKUP($B29,Parámetros!$C:$L,10,0)*Indices!$O$7/D29*G29/Indices!$R$7)*Parámetros!J33</f>
        <v>89.430308316217321</v>
      </c>
      <c r="K29" s="233">
        <f>+(VLOOKUP(B29,Parámetros!$C:$O,12,0)*F29/Indices!$Q$7+VLOOKUP(B29,Parámetros!$C:$O,13,0)*Indices!$O$7/D29*G29/Indices!$R$7)*Parámetros!M33</f>
        <v>14.049061465108672</v>
      </c>
      <c r="L29" s="233">
        <f>+Parámetros!P33*Indices!$O$7/D29*G29/Indices!$R$7</f>
        <v>1.2840397597476665</v>
      </c>
      <c r="M29" s="290">
        <f>+ROUND(ROUND(((I29*VLOOKUP($B29,Parámetros!$C:$AL,33,0)+J29*VLOOKUP($B29,Parámetros!$C:$AL,34,0)+K29*VLOOKUP($B29,Parámetros!$C:$AL,35,0))*VLOOKUP($B29,Parámetros!$C:$AL,36,0)+L29)*(VLOOKUP($B29,Parámetros!$C:$AL,16,0))*(VLOOKUP($B29,Parámetros!$C:$AL,17,0)),Indices!$T$7)*D29,Indices!$U$7)</f>
        <v>7571.74</v>
      </c>
      <c r="N29" s="290">
        <f>+VLOOKUP($B29,Parámetros!$C:$AL,15,0)</f>
        <v>7110.69</v>
      </c>
      <c r="O29" s="291">
        <f t="shared" ref="O29" si="21">+M29/N29-1</f>
        <v>6.4838995934290544E-2</v>
      </c>
      <c r="P29" s="292" t="s">
        <v>56</v>
      </c>
      <c r="Q29" s="290">
        <f>(VLOOKUP(B29,Parámetros!$C:$AL,20,0)*E29/Indices!$P$7+VLOOKUP(B29,Parámetros!$C:$AL,21,0)*F29/Indices!$Q$7+VLOOKUP(B29,Parámetros!$C:$AL,22,0)*G29/Indices!$R$7*Indices!$O$7/D29)*Parámetros!U33</f>
        <v>608.20533165322377</v>
      </c>
      <c r="R29" s="290">
        <f>+(VLOOKUP(B29,Parámetros!$C:$AL,24,0)*F29/Indices!$Q$7+VLOOKUP(B29,Parámetros!$C:$AL,25,0)*Indices!$O$7/D29*G29/Indices!$R$7)*Parámetros!Y33</f>
        <v>84.082855214326443</v>
      </c>
      <c r="S29" s="290">
        <f>+(VLOOKUP(B29,Parámetros!$C:$AL,27,0)*F29/Indices!$Q$7+VLOOKUP(B29,Parámetros!$C:$AL,28,0)*Indices!$O$7/D29*G29/Indices!$R$7)*Parámetros!AB33</f>
        <v>9.0733889057534292</v>
      </c>
      <c r="T29" s="290">
        <f>Parámetros!AE33*Indices!$O$7/D29*G29/Indices!$R$7</f>
        <v>1.105410922348262</v>
      </c>
      <c r="U29" s="290">
        <f>+ROUND(ROUND(((Q29*VLOOKUP($B29,Parámetros!$C:$AL,33,0)+R29*VLOOKUP($B29,Parámetros!$C:$AL,34,0)+S29*VLOOKUP($B29,Parámetros!$C:$AL,35,0))*VLOOKUP($B29,Parámetros!$C:$AL,36,0)+T29)*(VLOOKUP($B29,Parámetros!$C:$AL,31,0))*(VLOOKUP($B29,Parámetros!$C:$AL,32,0)),Indices!$T$7)*D29,Indices!$U$7)</f>
        <v>7093.25</v>
      </c>
      <c r="V29" s="233">
        <f>+VLOOKUP($B29,Parámetros!$C:$AL,30,0)</f>
        <v>6646.68</v>
      </c>
      <c r="W29" s="235">
        <f t="shared" ref="W29" si="22">+U29/V29-1</f>
        <v>6.7186926405363279E-2</v>
      </c>
    </row>
    <row r="30" spans="2:31" x14ac:dyDescent="0.2">
      <c r="B30" s="194">
        <v>45231</v>
      </c>
      <c r="C30" s="194" t="s">
        <v>135</v>
      </c>
      <c r="D30" s="227">
        <f>+VLOOKUP(DATE(YEAR(B30),MONTH(B30)-2,1),Indices!$B:$F,2,0)</f>
        <v>884.4</v>
      </c>
      <c r="E30" s="258">
        <f>+VLOOKUP(DATE(YEAR(B30),MONTH(B30)-7,1),Indices!$B:$F,4,0)</f>
        <v>256.38799999999998</v>
      </c>
      <c r="F30" s="258">
        <f>+VLOOKUP(DATE(YEAR(B30),MONTH(B30)-7,1),Indices!$B:$F,5,0)</f>
        <v>256.90800000000002</v>
      </c>
      <c r="G30" s="227">
        <f>+VLOOKUP(DATE(YEAR(B30),MONTH(B30)-2,1),Indices!$B:$F,3,0)</f>
        <v>133.24</v>
      </c>
      <c r="H30" s="232" t="s">
        <v>48</v>
      </c>
      <c r="I30" s="227">
        <f>(VLOOKUP(B30,Parámetros!$C:$Q,5,0)*E30/Indices!$P$7+VLOOKUP(B30,Parámetros!$C:$Q,6,0)*F30/Indices!$Q$7+VLOOKUP(B30,Parámetros!$C:$Q,7,0)*G30/Indices!$R$7*Indices!$O$7/D30)*Parámetros!F34</f>
        <v>631.16424981997829</v>
      </c>
      <c r="J30" s="227">
        <f>+(VLOOKUP($B30,Parámetros!$C:$L,9,0)*F30/Indices!$Q$7+VLOOKUP($B30,Parámetros!$C:$L,10,0)*Indices!$O$7/D30*G30/Indices!$R$7)*Parámetros!J34</f>
        <v>88.411128911704353</v>
      </c>
      <c r="K30" s="227">
        <f>+(VLOOKUP(B30,Parámetros!$C:$O,12,0)*F30/Indices!$Q$7+VLOOKUP(B30,Parámetros!$C:$O,13,0)*Indices!$O$7/D30*G30/Indices!$R$7)*Parámetros!M34</f>
        <v>13.743320279671448</v>
      </c>
      <c r="L30" s="227">
        <f>+Parámetros!P34*Indices!$O$7/D30*G30/Indices!$R$7</f>
        <v>1.2506668723936614</v>
      </c>
      <c r="M30" s="294">
        <f>+ROUND(ROUND(((I30*VLOOKUP($B30,Parámetros!$C:$AL,33,0)+J30*VLOOKUP($B30,Parámetros!$C:$AL,34,0)+K30*VLOOKUP($B30,Parámetros!$C:$AL,35,0))*VLOOKUP($B30,Parámetros!$C:$AL,36,0)+L30)*(VLOOKUP($B30,Parámetros!$C:$AL,16,0))*(VLOOKUP($B30,Parámetros!$C:$AL,17,0)),Indices!$T$7)*D30,Indices!$U$7)</f>
        <v>7757.96</v>
      </c>
      <c r="N30" s="294">
        <f>+VLOOKUP($B30,Parámetros!$C:$AL,15,0)</f>
        <v>7110.69</v>
      </c>
      <c r="O30" s="303">
        <f t="shared" ref="O30" si="23">+M30/N30-1</f>
        <v>9.1027734298640528E-2</v>
      </c>
      <c r="P30" s="295" t="s">
        <v>56</v>
      </c>
      <c r="Q30" s="294">
        <f>(VLOOKUP(B30,Parámetros!$C:$AL,20,0)*E30/Indices!$P$7+VLOOKUP(B30,Parámetros!$C:$AL,21,0)*F30/Indices!$Q$7+VLOOKUP(B30,Parámetros!$C:$AL,22,0)*G30/Indices!$R$7*Indices!$O$7/D30)*Parámetros!U34</f>
        <v>605.66456164006649</v>
      </c>
      <c r="R30" s="294">
        <f>+(VLOOKUP(B30,Parámetros!$C:$AL,24,0)*F30/Indices!$Q$7+VLOOKUP(B30,Parámetros!$C:$AL,25,0)*Indices!$O$7/D30*G30/Indices!$R$7)*Parámetros!Y34</f>
        <v>83.319259201641515</v>
      </c>
      <c r="S30" s="294">
        <f>+(VLOOKUP(B30,Parámetros!$C:$AL,27,0)*F30/Indices!$Q$7+VLOOKUP(B30,Parámetros!$C:$AL,28,0)*Indices!$O$7/D30*G30/Indices!$R$7)*Parámetros!AB34</f>
        <v>8.8686045416001935</v>
      </c>
      <c r="T30" s="294">
        <f>Parámetros!AE34*Indices!$O$7/D30*G30/Indices!$R$7</f>
        <v>1.0766806950236307</v>
      </c>
      <c r="U30" s="294">
        <f>+ROUND(ROUND(((Q30*VLOOKUP($B30,Parámetros!$C:$AL,33,0)+R30*VLOOKUP($B30,Parámetros!$C:$AL,34,0)+S30*VLOOKUP($B30,Parámetros!$C:$AL,35,0))*VLOOKUP($B30,Parámetros!$C:$AL,36,0)+T30)*(VLOOKUP($B30,Parámetros!$C:$AL,31,0))*(VLOOKUP($B30,Parámetros!$C:$AL,32,0)),Indices!$T$7)*D30,Indices!$U$7)</f>
        <v>7272.51</v>
      </c>
      <c r="V30" s="227">
        <f>+VLOOKUP($B30,Parámetros!$C:$AL,30,0)</f>
        <v>6646.68</v>
      </c>
      <c r="W30" s="230">
        <f t="shared" ref="W30" si="24">+U30/V30-1</f>
        <v>9.4156782032533526E-2</v>
      </c>
    </row>
    <row r="31" spans="2:31" x14ac:dyDescent="0.2">
      <c r="B31" s="38">
        <v>45261</v>
      </c>
      <c r="C31" s="38" t="s">
        <v>135</v>
      </c>
      <c r="D31" s="233">
        <f>+VLOOKUP(DATE(YEAR(B31),MONTH(B31)-2,1),Indices!$B:$F,2,0)</f>
        <v>926.35</v>
      </c>
      <c r="E31" s="228">
        <f>+VLOOKUP(DATE(YEAR(B31),MONTH(B31)-7,1),Indices!$B:$F,4,0)</f>
        <v>256.81700000000001</v>
      </c>
      <c r="F31" s="228">
        <f>+VLOOKUP(DATE(YEAR(B31),MONTH(B31)-7,1),Indices!$B:$F,5,0)</f>
        <v>253.67</v>
      </c>
      <c r="G31" s="233">
        <f>+VLOOKUP(DATE(YEAR(B31),MONTH(B31)-2,1),Indices!$B:$F,3,0)</f>
        <v>133.82</v>
      </c>
      <c r="H31" s="234" t="s">
        <v>48</v>
      </c>
      <c r="I31" s="233">
        <f>(VLOOKUP(B31,Parámetros!$C:$Q,5,0)*E31/Indices!$P$7+VLOOKUP(B31,Parámetros!$C:$Q,6,0)*F31/Indices!$Q$7+VLOOKUP(B31,Parámetros!$C:$Q,7,0)*G31/Indices!$R$7*Indices!$O$7/D31)*Parámetros!F35</f>
        <v>625.98494269339164</v>
      </c>
      <c r="J31" s="233">
        <f>+(VLOOKUP($B31,Parámetros!$C:$L,9,0)*F31/Indices!$Q$7+VLOOKUP($B31,Parámetros!$C:$L,10,0)*Indices!$O$7/D31*G31/Indices!$R$7)*Parámetros!J35</f>
        <v>86.240221802411313</v>
      </c>
      <c r="K31" s="233">
        <f>+(VLOOKUP(B31,Parámetros!$C:$O,12,0)*F31/Indices!$Q$7+VLOOKUP(B31,Parámetros!$C:$O,13,0)*Indices!$O$7/D31*G31/Indices!$R$7)*Parámetros!M35</f>
        <v>13.244760215587499</v>
      </c>
      <c r="L31" s="233">
        <f>+Parámetros!P35*Indices!$O$7/D31*G31/Indices!$R$7</f>
        <v>1.199227768013259</v>
      </c>
      <c r="M31" s="290">
        <f>+ROUND(ROUND(((I31*VLOOKUP($B31,Parámetros!$C:$AL,33,0)+J31*VLOOKUP($B31,Parámetros!$C:$AL,34,0)+K31*VLOOKUP($B31,Parámetros!$C:$AL,35,0))*VLOOKUP($B31,Parámetros!$C:$AL,36,0)+L31)*(VLOOKUP($B31,Parámetros!$C:$AL,16,0))*(VLOOKUP($B31,Parámetros!$C:$AL,17,0)),Indices!$T$7)*D31,Indices!$U$7)</f>
        <v>8001.07</v>
      </c>
      <c r="N31" s="290">
        <f>+VLOOKUP($B31,Parámetros!$C:$AL,15,0)</f>
        <v>7110.69</v>
      </c>
      <c r="O31" s="291">
        <f t="shared" ref="O31" si="25">+M31/N31-1</f>
        <v>0.12521710270030062</v>
      </c>
      <c r="P31" s="292" t="s">
        <v>56</v>
      </c>
      <c r="Q31" s="290">
        <f>(VLOOKUP(B31,Parámetros!$C:$AL,20,0)*E31/Indices!$P$7+VLOOKUP(B31,Parámetros!$C:$AL,21,0)*F31/Indices!$Q$7+VLOOKUP(B31,Parámetros!$C:$AL,22,0)*G31/Indices!$R$7*Indices!$O$7/D31)*Parámetros!U35</f>
        <v>600.79543044393654</v>
      </c>
      <c r="R31" s="290">
        <f>+(VLOOKUP(B31,Parámetros!$C:$AL,24,0)*F31/Indices!$Q$7+VLOOKUP(B31,Parámetros!$C:$AL,25,0)*Indices!$O$7/D31*G31/Indices!$R$7)*Parámetros!Y35</f>
        <v>81.488691370139989</v>
      </c>
      <c r="S31" s="290">
        <f>+(VLOOKUP(B31,Parámetros!$C:$AL,27,0)*F31/Indices!$Q$7+VLOOKUP(B31,Parámetros!$C:$AL,28,0)*Indices!$O$7/D31*G31/Indices!$R$7)*Parámetros!AB35</f>
        <v>8.5386928116814271</v>
      </c>
      <c r="T31" s="290">
        <f>Parámetros!AE35*Indices!$O$7/D31*G31/Indices!$R$7</f>
        <v>1.0323975274766357</v>
      </c>
      <c r="U31" s="290">
        <f>+ROUND(ROUND(((Q31*VLOOKUP($B31,Parámetros!$C:$AL,33,0)+R31*VLOOKUP($B31,Parámetros!$C:$AL,34,0)+S31*VLOOKUP($B31,Parámetros!$C:$AL,35,0))*VLOOKUP($B31,Parámetros!$C:$AL,36,0)+T31)*(VLOOKUP($B31,Parámetros!$C:$AL,31,0))*(VLOOKUP($B31,Parámetros!$C:$AL,32,0)),Indices!$T$7)*D31,Indices!$U$7)</f>
        <v>7507.33</v>
      </c>
      <c r="V31" s="233">
        <f>+VLOOKUP($B31,Parámetros!$C:$AL,30,0)</f>
        <v>6646.68</v>
      </c>
      <c r="W31" s="235">
        <f t="shared" ref="W31" si="26">+U31/V31-1</f>
        <v>0.12948569812297261</v>
      </c>
    </row>
    <row r="32" spans="2:31" x14ac:dyDescent="0.2">
      <c r="B32" s="194">
        <v>45292</v>
      </c>
      <c r="C32" s="194" t="s">
        <v>135</v>
      </c>
      <c r="D32" s="227">
        <f>+VLOOKUP(DATE(YEAR(B32),MONTH(B32)-2,1),Indices!$B:$F,2,0)</f>
        <v>886.61</v>
      </c>
      <c r="E32" s="258">
        <f>+VLOOKUP(DATE(YEAR(B32),MONTH(B32)-7,1),Indices!$B:$F,4,0)</f>
        <v>256.35500000000002</v>
      </c>
      <c r="F32" s="258">
        <f>+VLOOKUP(DATE(YEAR(B32),MONTH(B32)-7,1),Indices!$B:$F,5,0)</f>
        <v>253.86</v>
      </c>
      <c r="G32" s="227">
        <f>+VLOOKUP(DATE(YEAR(B32),MONTH(B32)-2,1),Indices!$B:$F,3,0)</f>
        <v>134.82</v>
      </c>
      <c r="H32" s="232" t="s">
        <v>48</v>
      </c>
      <c r="I32" s="227">
        <f>(VLOOKUP(B32,Parámetros!$C:$Q,5,0)*E32/Indices!$P$7+VLOOKUP(B32,Parámetros!$C:$Q,6,0)*F32/Indices!$Q$7+VLOOKUP(B32,Parámetros!$C:$Q,7,0)*G32/Indices!$R$7*Indices!$O$7/D32)*Parámetros!F36</f>
        <v>631.84295137946424</v>
      </c>
      <c r="J32" s="227">
        <f>+(VLOOKUP($B32,Parámetros!$C:$L,9,0)*F32/Indices!$Q$7+VLOOKUP($B32,Parámetros!$C:$L,10,0)*Indices!$O$7/D32*G32/Indices!$R$7)*Parámetros!J36</f>
        <v>88.147468515301924</v>
      </c>
      <c r="K32" s="227">
        <f>+(VLOOKUP(B32,Parámetros!$C:$O,12,0)*F32/Indices!$Q$7+VLOOKUP(B32,Parámetros!$C:$O,13,0)*Indices!$O$7/D32*G32/Indices!$R$7)*Parámetros!M36</f>
        <v>13.822062508763429</v>
      </c>
      <c r="L32" s="227">
        <f>+Parámetros!P36*Indices!$O$7/D32*G32/Indices!$R$7</f>
        <v>1.262343225660383</v>
      </c>
      <c r="M32" s="294">
        <f>+ROUND(ROUND(((I32*VLOOKUP($B32,Parámetros!$C:$AL,33,0)+J32*VLOOKUP($B32,Parámetros!$C:$AL,34,0)+K32*VLOOKUP($B32,Parámetros!$C:$AL,35,0))*VLOOKUP($B32,Parámetros!$C:$AL,36,0)+L32)*(VLOOKUP($B32,Parámetros!$C:$AL,16,0))*(VLOOKUP($B32,Parámetros!$C:$AL,17,0)),Indices!$T$7)*D32,Indices!$U$7)</f>
        <v>7793.3</v>
      </c>
      <c r="N32" s="294">
        <f>+VLOOKUP($B32,Parámetros!$C:$AL,15,0)</f>
        <v>7110.69</v>
      </c>
      <c r="O32" s="303">
        <f t="shared" ref="O32" si="27">+M32/N32-1</f>
        <v>9.5997716114751164E-2</v>
      </c>
      <c r="P32" s="295" t="s">
        <v>56</v>
      </c>
      <c r="Q32" s="294">
        <f>(VLOOKUP(B32,Parámetros!$C:$AL,20,0)*E32/Indices!$P$7+VLOOKUP(B32,Parámetros!$C:$AL,21,0)*F32/Indices!$Q$7+VLOOKUP(B32,Parámetros!$C:$AL,22,0)*G32/Indices!$R$7*Indices!$O$7/D32)*Parámetros!U36</f>
        <v>606.29059249171212</v>
      </c>
      <c r="R32" s="294">
        <f>+(VLOOKUP(B32,Parámetros!$C:$AL,24,0)*F32/Indices!$Q$7+VLOOKUP(B32,Parámetros!$C:$AL,25,0)*Indices!$O$7/D32*G32/Indices!$R$7)*Parámetros!Y36</f>
        <v>82.910765100877896</v>
      </c>
      <c r="S32" s="294">
        <f>+(VLOOKUP(B32,Parámetros!$C:$AL,27,0)*F32/Indices!$Q$7+VLOOKUP(B32,Parámetros!$C:$AL,28,0)*Indices!$O$7/D32*G32/Indices!$R$7)*Parámetros!AB36</f>
        <v>8.925503557068053</v>
      </c>
      <c r="T32" s="294">
        <f>Parámetros!AE36*Indices!$O$7/D32*G32/Indices!$R$7</f>
        <v>1.0867326956227146</v>
      </c>
      <c r="U32" s="294">
        <f>+ROUND(ROUND(((Q32*VLOOKUP($B32,Parámetros!$C:$AL,33,0)+R32*VLOOKUP($B32,Parámetros!$C:$AL,34,0)+S32*VLOOKUP($B32,Parámetros!$C:$AL,35,0))*VLOOKUP($B32,Parámetros!$C:$AL,36,0)+T32)*(VLOOKUP($B32,Parámetros!$C:$AL,31,0))*(VLOOKUP($B32,Parámetros!$C:$AL,32,0)),Indices!$T$7)*D32,Indices!$U$7)</f>
        <v>7303.18</v>
      </c>
      <c r="V32" s="227">
        <f>+VLOOKUP($B32,Parámetros!$C:$AL,30,0)</f>
        <v>6646.68</v>
      </c>
      <c r="W32" s="230">
        <f t="shared" ref="W32" si="28">+U32/V32-1</f>
        <v>9.8771115805183829E-2</v>
      </c>
    </row>
    <row r="33" spans="2:23" x14ac:dyDescent="0.2">
      <c r="B33" s="38">
        <v>45323</v>
      </c>
      <c r="C33" s="38" t="s">
        <v>135</v>
      </c>
      <c r="D33" s="233">
        <f>+VLOOKUP(DATE(YEAR(B33),MONTH(B33)-2,1),Indices!$B:$F,2,0)</f>
        <v>874.67</v>
      </c>
      <c r="E33" s="228">
        <f>+VLOOKUP(DATE(YEAR(B33),MONTH(B33)-7,1),Indices!$B:$F,4,0)</f>
        <v>253.63200000000001</v>
      </c>
      <c r="F33" s="228">
        <f>+VLOOKUP(DATE(YEAR(B33),MONTH(B33)-7,1),Indices!$B:$F,5,0)</f>
        <v>253.83500000000001</v>
      </c>
      <c r="G33" s="233">
        <f>+VLOOKUP(DATE(YEAR(B33),MONTH(B33)-2,1),Indices!$B:$F,3,0)</f>
        <v>134.1</v>
      </c>
      <c r="H33" s="234" t="s">
        <v>48</v>
      </c>
      <c r="I33" s="233">
        <f>(VLOOKUP(B33,Parámetros!$C:$Q,5,0)*E33/Indices!$P$7+VLOOKUP(B33,Parámetros!$C:$Q,6,0)*F33/Indices!$Q$7+VLOOKUP(B33,Parámetros!$C:$Q,7,0)*G33/Indices!$R$7*Indices!$O$7/D33)*Parámetros!F37</f>
        <v>628.07286069953113</v>
      </c>
      <c r="J33" s="233">
        <f>+(VLOOKUP($B33,Parámetros!$C:$L,9,0)*F33/Indices!$Q$7+VLOOKUP($B33,Parámetros!$C:$L,10,0)*Indices!$O$7/D33*G33/Indices!$R$7)*Parámetros!J37</f>
        <v>88.450437839111956</v>
      </c>
      <c r="K33" s="233">
        <f>+(VLOOKUP(B33,Parámetros!$C:$O,12,0)*F33/Indices!$Q$7+VLOOKUP(B33,Parámetros!$C:$O,13,0)*Indices!$O$7/D33*G33/Indices!$R$7)*Parámetros!M37</f>
        <v>13.916663311456107</v>
      </c>
      <c r="L33" s="233">
        <f>+Parámetros!P37*Indices!$O$7/D33*G33/Indices!$R$7</f>
        <v>1.2727417866533781</v>
      </c>
      <c r="M33" s="290">
        <f>+ROUND(ROUND(((I33*VLOOKUP($B33,Parámetros!$C:$AL,33,0)+J33*VLOOKUP($B33,Parámetros!$C:$AL,34,0)+K33*VLOOKUP($B33,Parámetros!$C:$AL,35,0))*VLOOKUP($B33,Parámetros!$C:$AL,36,0)+L33)*(VLOOKUP($B33,Parámetros!$C:$AL,16,0))*(VLOOKUP($B33,Parámetros!$C:$AL,17,0)),Indices!$T$7)*D33,Indices!$U$7)</f>
        <v>7668.14</v>
      </c>
      <c r="N33" s="290">
        <f>+VLOOKUP($B33,Parámetros!$C:$AL,15,0)</f>
        <v>7110.69</v>
      </c>
      <c r="O33" s="291">
        <f t="shared" ref="O33" si="29">+M33/N33-1</f>
        <v>7.8396048766012916E-2</v>
      </c>
      <c r="P33" s="292" t="s">
        <v>56</v>
      </c>
      <c r="Q33" s="290">
        <f>(VLOOKUP(B33,Parámetros!$C:$AL,20,0)*E33/Indices!$P$7+VLOOKUP(B33,Parámetros!$C:$AL,21,0)*F33/Indices!$Q$7+VLOOKUP(B33,Parámetros!$C:$AL,22,0)*G33/Indices!$R$7*Indices!$O$7/D33)*Parámetros!U37</f>
        <v>602.62899801143078</v>
      </c>
      <c r="R33" s="290">
        <f>+(VLOOKUP(B33,Parámetros!$C:$AL,24,0)*F33/Indices!$Q$7+VLOOKUP(B33,Parámetros!$C:$AL,25,0)*Indices!$O$7/D33*G33/Indices!$R$7)*Parámetros!Y37</f>
        <v>83.132794159914496</v>
      </c>
      <c r="S33" s="290">
        <f>+(VLOOKUP(B33,Parámetros!$C:$AL,27,0)*F33/Indices!$Q$7+VLOOKUP(B33,Parámetros!$C:$AL,28,0)*Indices!$O$7/D33*G33/Indices!$R$7)*Parámetros!AB37</f>
        <v>8.9889646679947734</v>
      </c>
      <c r="T33" s="290">
        <f>Parámetros!AE37*Indices!$O$7/D33*G33/Indices!$R$7</f>
        <v>1.0956846636681743</v>
      </c>
      <c r="U33" s="290">
        <f>+ROUND(ROUND(((Q33*VLOOKUP($B33,Parámetros!$C:$AL,33,0)+R33*VLOOKUP($B33,Parámetros!$C:$AL,34,0)+S33*VLOOKUP($B33,Parámetros!$C:$AL,35,0))*VLOOKUP($B33,Parámetros!$C:$AL,36,0)+T33)*(VLOOKUP($B33,Parámetros!$C:$AL,31,0))*(VLOOKUP($B33,Parámetros!$C:$AL,32,0)),Indices!$T$7)*D33,Indices!$U$7)</f>
        <v>7183.23</v>
      </c>
      <c r="V33" s="233">
        <f>+VLOOKUP($B33,Parámetros!$C:$AL,30,0)</f>
        <v>6646.68</v>
      </c>
      <c r="W33" s="235">
        <f t="shared" ref="W33" si="30">+U33/V33-1</f>
        <v>8.0724512087237521E-2</v>
      </c>
    </row>
    <row r="34" spans="2:23" x14ac:dyDescent="0.2">
      <c r="B34" s="194">
        <v>45352</v>
      </c>
      <c r="C34" s="194" t="s">
        <v>137</v>
      </c>
      <c r="D34" s="227">
        <f>+VLOOKUP(DATE(YEAR(B34),MONTH(B34)-2,1),Indices!$B:$F,2,0)</f>
        <v>907.99</v>
      </c>
      <c r="E34" s="258">
        <f>+VLOOKUP(DATE(YEAR(B34),MONTH(B34)-7,1),Indices!$B:$F,4,0)</f>
        <v>258.39600000000002</v>
      </c>
      <c r="F34" s="258">
        <f>+VLOOKUP(DATE(YEAR(B34),MONTH(B34)-7,1),Indices!$B:$F,5,0)</f>
        <v>257.68</v>
      </c>
      <c r="G34" s="227">
        <f>+VLOOKUP(DATE(YEAR(B34),MONTH(B34)-2,1),Indices!$B:$F,3,0)</f>
        <v>135</v>
      </c>
      <c r="H34" s="232" t="s">
        <v>48</v>
      </c>
      <c r="I34" s="227">
        <f>(VLOOKUP(B34,Parámetros!$C:$Q,5,0)*E34/Indices!$P$7+VLOOKUP(B34,Parámetros!$C:$Q,6,0)*F34/Indices!$Q$7+VLOOKUP(B34,Parámetros!$C:$Q,7,0)*G34/Indices!$R$7*Indices!$O$7/D34)*Parámetros!F38</f>
        <v>633.14579172816082</v>
      </c>
      <c r="J34" s="227">
        <f>+(VLOOKUP($B34,Parámetros!$C:$L,9,0)*F34/Indices!$Q$7+VLOOKUP($B34,Parámetros!$C:$L,10,0)*Indices!$O$7/D34*G34/Indices!$R$7)*Parámetros!J38</f>
        <v>88.079735452493267</v>
      </c>
      <c r="K34" s="227">
        <f>+(VLOOKUP(B34,Parámetros!$C:$O,12,0)*F34/Indices!$Q$7+VLOOKUP(B34,Parámetros!$C:$O,13,0)*Indices!$O$7/D34*G34/Indices!$R$7)*Parámetros!M38</f>
        <v>13.60077241711598</v>
      </c>
      <c r="L34" s="227">
        <f>+Parámetros!P38*Indices!$O$7/D34*G34/Indices!$R$7</f>
        <v>1.2342651290161928</v>
      </c>
      <c r="M34" s="294">
        <f>+ROUND(ROUND(((I34*VLOOKUP($B34,Parámetros!$C:$AL,33,0)+J34*VLOOKUP($B34,Parámetros!$C:$AL,34,0)+K34*VLOOKUP($B34,Parámetros!$C:$AL,35,0))*VLOOKUP($B34,Parámetros!$C:$AL,36,0)+L34)*(VLOOKUP($B34,Parámetros!$C:$AL,16,0))*(VLOOKUP($B34,Parámetros!$C:$AL,17,0)),Indices!$T$7)*D34,Indices!$U$7)</f>
        <v>7962.71</v>
      </c>
      <c r="N34" s="294">
        <f>+VLOOKUP($B34,Parámetros!$C:$AL,15,0)</f>
        <v>7962.71</v>
      </c>
      <c r="O34" s="303">
        <f t="shared" ref="O34" si="31">+M34/N34-1</f>
        <v>0</v>
      </c>
      <c r="P34" s="295" t="s">
        <v>56</v>
      </c>
      <c r="Q34" s="294">
        <f>(VLOOKUP(B34,Parámetros!$C:$AL,20,0)*E34/Indices!$P$7+VLOOKUP(B34,Parámetros!$C:$AL,21,0)*F34/Indices!$Q$7+VLOOKUP(B34,Parámetros!$C:$AL,22,0)*G34/Indices!$R$7*Indices!$O$7/D34)*Parámetros!U38</f>
        <v>607.61586292798563</v>
      </c>
      <c r="R34" s="294">
        <f>+(VLOOKUP(B34,Parámetros!$C:$AL,24,0)*F34/Indices!$Q$7+VLOOKUP(B34,Parámetros!$C:$AL,25,0)*Indices!$O$7/D34*G34/Indices!$R$7)*Parámetros!Y38</f>
        <v>83.128619976803733</v>
      </c>
      <c r="S34" s="294">
        <f>+(VLOOKUP(B34,Parámetros!$C:$AL,27,0)*F34/Indices!$Q$7+VLOOKUP(B34,Parámetros!$C:$AL,28,0)*Indices!$O$7/D34*G34/Indices!$R$7)*Parámetros!AB38</f>
        <v>8.7719902522981616</v>
      </c>
      <c r="T34" s="294">
        <f>Parámetros!AE38*Indices!$O$7/D34*G34/Indices!$R$7</f>
        <v>1.0625606756571198</v>
      </c>
      <c r="U34" s="294">
        <f>+ROUND(ROUND(((Q34*VLOOKUP($B34,Parámetros!$C:$AL,33,0)+R34*VLOOKUP($B34,Parámetros!$C:$AL,34,0)+S34*VLOOKUP($B34,Parámetros!$C:$AL,35,0))*VLOOKUP($B34,Parámetros!$C:$AL,36,0)+T34)*(VLOOKUP($B34,Parámetros!$C:$AL,31,0))*(VLOOKUP($B34,Parámetros!$C:$AL,32,0)),Indices!$T$7)*D34,Indices!$U$7)</f>
        <v>7467.85</v>
      </c>
      <c r="V34" s="227">
        <f>+VLOOKUP($B34,Parámetros!$C:$AL,30,0)</f>
        <v>7467.85</v>
      </c>
      <c r="W34" s="230">
        <f t="shared" ref="W34" si="32">+U34/V34-1</f>
        <v>0</v>
      </c>
    </row>
    <row r="35" spans="2:23" x14ac:dyDescent="0.2">
      <c r="B35" s="38">
        <v>45383</v>
      </c>
      <c r="C35" s="38" t="s">
        <v>138</v>
      </c>
      <c r="D35" s="233">
        <f>+VLOOKUP(DATE(YEAR(B35),MONTH(B35)-2,1),Indices!$B:$F,2,0)</f>
        <v>963.44</v>
      </c>
      <c r="E35" s="228">
        <f>+VLOOKUP(DATE(YEAR(B35),MONTH(B35)-7,1),Indices!$B:$F,4,0)</f>
        <v>259.31599999999997</v>
      </c>
      <c r="F35" s="228">
        <f>+VLOOKUP(DATE(YEAR(B35),MONTH(B35)-7,1),Indices!$B:$F,5,0)</f>
        <v>258.93400000000003</v>
      </c>
      <c r="G35" s="233">
        <f>+VLOOKUP(DATE(YEAR(B35),MONTH(B35)-2,1),Indices!$B:$F,3,0)</f>
        <v>135.80000000000001</v>
      </c>
      <c r="H35" s="234" t="s">
        <v>48</v>
      </c>
      <c r="I35" s="233">
        <f>(VLOOKUP(B35,Parámetros!$C:$Q,5,0)*E35/Indices!$P$7+VLOOKUP(B35,Parámetros!$C:$Q,6,0)*F35/Indices!$Q$7+VLOOKUP(B35,Parámetros!$C:$Q,7,0)*G35/Indices!$R$7*Indices!$O$7/D35)*Parámetros!F39</f>
        <v>628.23073895370385</v>
      </c>
      <c r="J35" s="233">
        <f>+(VLOOKUP($B35,Parámetros!$C:$L,9,0)*F35/Indices!$Q$7+VLOOKUP($B35,Parámetros!$C:$L,10,0)*Indices!$O$7/D35*G35/Indices!$R$7)*Parámetros!J39</f>
        <v>86.430769001192786</v>
      </c>
      <c r="K35" s="233">
        <f>+(VLOOKUP(B35,Parámetros!$C:$O,12,0)*F35/Indices!$Q$7+VLOOKUP(B35,Parámetros!$C:$O,13,0)*Indices!$O$7/D35*G35/Indices!$R$7)*Parámetros!M39</f>
        <v>13.027232561034635</v>
      </c>
      <c r="L35" s="233">
        <f>+Parámetros!P39*Indices!$O$7/D35*G35/Indices!$R$7</f>
        <v>1.1701212135870929</v>
      </c>
      <c r="M35" s="290">
        <f>+ROUND(ROUND(((I35*VLOOKUP($B35,Parámetros!$C:$AL,33,0)+J35*VLOOKUP($B35,Parámetros!$C:$AL,34,0)+K35*VLOOKUP($B35,Parámetros!$C:$AL,35,0))*VLOOKUP($B35,Parámetros!$C:$AL,36,0)+L35)*(VLOOKUP($B35,Parámetros!$C:$AL,16,0))*(VLOOKUP($B35,Parámetros!$C:$AL,17,0)),Indices!$T$7)*D35,Indices!$U$7)</f>
        <v>8312.27</v>
      </c>
      <c r="N35" s="290">
        <f>+VLOOKUP($B35,Parámetros!$C:$AL,15,0)</f>
        <v>7793.57</v>
      </c>
      <c r="O35" s="291">
        <f t="shared" ref="O35" si="33">+M35/N35-1</f>
        <v>6.6554865100332705E-2</v>
      </c>
      <c r="P35" s="292" t="s">
        <v>56</v>
      </c>
      <c r="Q35" s="290">
        <f>(VLOOKUP(B35,Parámetros!$C:$AL,20,0)*E35/Indices!$P$7+VLOOKUP(B35,Parámetros!$C:$AL,21,0)*F35/Indices!$Q$7+VLOOKUP(B35,Parámetros!$C:$AL,22,0)*G35/Indices!$R$7*Indices!$O$7/D35)*Parámetros!U39</f>
        <v>603.03263803197785</v>
      </c>
      <c r="R35" s="290">
        <f>+(VLOOKUP(B35,Parámetros!$C:$AL,24,0)*F35/Indices!$Q$7+VLOOKUP(B35,Parámetros!$C:$AL,25,0)*Indices!$O$7/D35*G35/Indices!$R$7)*Parámetros!Y39</f>
        <v>81.99858295855141</v>
      </c>
      <c r="S35" s="290">
        <f>+(VLOOKUP(B35,Parámetros!$C:$AL,27,0)*F35/Indices!$Q$7+VLOOKUP(B35,Parámetros!$C:$AL,28,0)*Indices!$O$7/D35*G35/Indices!$R$7)*Parámetros!AB39</f>
        <v>8.3857576806392338</v>
      </c>
      <c r="T35" s="290">
        <f>Parámetros!AE39*Indices!$O$7/D35*G35/Indices!$R$7</f>
        <v>1.0073401233500445</v>
      </c>
      <c r="U35" s="290">
        <f>+ROUND(ROUND(((Q35*VLOOKUP($B35,Parámetros!$C:$AL,33,0)+R35*VLOOKUP($B35,Parámetros!$C:$AL,34,0)+S35*VLOOKUP($B35,Parámetros!$C:$AL,35,0))*VLOOKUP($B35,Parámetros!$C:$AL,36,0)+T35)*(VLOOKUP($B35,Parámetros!$C:$AL,31,0))*(VLOOKUP($B35,Parámetros!$C:$AL,32,0)),Indices!$T$7)*D35,Indices!$U$7)</f>
        <v>7806.47</v>
      </c>
      <c r="V35" s="233">
        <f>+VLOOKUP($B35,Parámetros!$C:$AL,30,0)</f>
        <v>7303.36</v>
      </c>
      <c r="W35" s="235">
        <f t="shared" ref="W35" si="34">+U35/V35-1</f>
        <v>6.8887470972264886E-2</v>
      </c>
    </row>
    <row r="36" spans="2:23" x14ac:dyDescent="0.2">
      <c r="B36" s="194">
        <v>45413</v>
      </c>
      <c r="C36" s="194" t="s">
        <v>138</v>
      </c>
      <c r="D36" s="227">
        <f>+VLOOKUP(DATE(YEAR(B36),MONTH(B36)-2,1),Indices!$B:$F,2,0)</f>
        <v>967.93</v>
      </c>
      <c r="E36" s="258">
        <f>+VLOOKUP(DATE(YEAR(B36),MONTH(B36)-7,1),Indices!$B:$F,4,0)</f>
        <v>260.34100000000001</v>
      </c>
      <c r="F36" s="258">
        <f>+VLOOKUP(DATE(YEAR(B36),MONTH(B36)-7,1),Indices!$B:$F,5,0)</f>
        <v>255.19200000000001</v>
      </c>
      <c r="G36" s="227">
        <f>+VLOOKUP(DATE(YEAR(B36),MONTH(B36)-2,1),Indices!$B:$F,3,0)</f>
        <v>136.30000000000001</v>
      </c>
      <c r="H36" s="232" t="s">
        <v>48</v>
      </c>
      <c r="I36" s="227">
        <f>(VLOOKUP(B36,Parámetros!$C:$Q,5,0)*E36/Indices!$P$7+VLOOKUP(B36,Parámetros!$C:$Q,6,0)*F36/Indices!$Q$7+VLOOKUP(B36,Parámetros!$C:$Q,7,0)*G36/Indices!$R$7*Indices!$O$7/D36)*Parámetros!F40</f>
        <v>629.33551245539843</v>
      </c>
      <c r="J36" s="227">
        <f>+(VLOOKUP($B36,Parámetros!$C:$L,9,0)*F36/Indices!$Q$7+VLOOKUP($B36,Parámetros!$C:$L,10,0)*Indices!$O$7/D36*G36/Indices!$R$7)*Parámetros!J40</f>
        <v>85.648773365196689</v>
      </c>
      <c r="K36" s="227">
        <f>+(VLOOKUP(B36,Parámetros!$C:$O,12,0)*F36/Indices!$Q$7+VLOOKUP(B36,Parámetros!$C:$O,13,0)*Indices!$O$7/D36*G36/Indices!$R$7)*Parámetros!M40</f>
        <v>12.982785072696721</v>
      </c>
      <c r="L36" s="227">
        <f>+Parámetros!P40*Indices!$O$7/D36*G36/Indices!$R$7</f>
        <v>1.168981562943791</v>
      </c>
      <c r="M36" s="294">
        <f>+ROUND(ROUND(((I36*VLOOKUP($B36,Parámetros!$C:$AL,33,0)+J36*VLOOKUP($B36,Parámetros!$C:$AL,34,0)+K36*VLOOKUP($B36,Parámetros!$C:$AL,35,0))*VLOOKUP($B36,Parámetros!$C:$AL,36,0)+L36)*(VLOOKUP($B36,Parámetros!$C:$AL,16,0))*(VLOOKUP($B36,Parámetros!$C:$AL,17,0)),Indices!$T$7)*D36,Indices!$U$7)</f>
        <v>8353.14</v>
      </c>
      <c r="N36" s="294">
        <f>+VLOOKUP($B36,Parámetros!$C:$AL,15,0)</f>
        <v>7793.57</v>
      </c>
      <c r="O36" s="303">
        <f t="shared" ref="O36" si="35">+M36/N36-1</f>
        <v>7.1798931683426215E-2</v>
      </c>
      <c r="P36" s="295" t="s">
        <v>56</v>
      </c>
      <c r="Q36" s="294">
        <f>(VLOOKUP(B36,Parámetros!$C:$AL,20,0)*E36/Indices!$P$7+VLOOKUP(B36,Parámetros!$C:$AL,21,0)*F36/Indices!$Q$7+VLOOKUP(B36,Parámetros!$C:$AL,22,0)*G36/Indices!$R$7*Indices!$O$7/D36)*Parámetros!U40</f>
        <v>604.10101961630915</v>
      </c>
      <c r="R36" s="294">
        <f>+(VLOOKUP(B36,Parámetros!$C:$AL,24,0)*F36/Indices!$Q$7+VLOOKUP(B36,Parámetros!$C:$AL,25,0)*Indices!$O$7/D36*G36/Indices!$R$7)*Parámetros!Y40</f>
        <v>81.158562871899818</v>
      </c>
      <c r="S36" s="294">
        <f>+(VLOOKUP(B36,Parámetros!$C:$AL,27,0)*F36/Indices!$Q$7+VLOOKUP(B36,Parámetros!$C:$AL,28,0)*Indices!$O$7/D36*G36/Indices!$R$7)*Parámetros!AB40</f>
        <v>8.360995623482312</v>
      </c>
      <c r="T36" s="294">
        <f>Parámetros!AE40*Indices!$O$7/D36*G36/Indices!$R$7</f>
        <v>1.0063590148919896</v>
      </c>
      <c r="U36" s="294">
        <f>+ROUND(ROUND(((Q36*VLOOKUP($B36,Parámetros!$C:$AL,33,0)+R36*VLOOKUP($B36,Parámetros!$C:$AL,34,0)+S36*VLOOKUP($B36,Parámetros!$C:$AL,35,0))*VLOOKUP($B36,Parámetros!$C:$AL,36,0)+T36)*(VLOOKUP($B36,Parámetros!$C:$AL,31,0))*(VLOOKUP($B36,Parámetros!$C:$AL,32,0)),Indices!$T$7)*D36,Indices!$U$7)</f>
        <v>7844.4</v>
      </c>
      <c r="V36" s="227">
        <f>+VLOOKUP($B36,Parámetros!$C:$AL,30,0)</f>
        <v>7303.36</v>
      </c>
      <c r="W36" s="230">
        <f t="shared" ref="W36" si="36">+U36/V36-1</f>
        <v>7.408097095035715E-2</v>
      </c>
    </row>
    <row r="37" spans="2:23" x14ac:dyDescent="0.2">
      <c r="B37" s="38">
        <v>45444</v>
      </c>
      <c r="C37" s="38" t="s">
        <v>138</v>
      </c>
      <c r="D37" s="233">
        <f>+VLOOKUP(DATE(YEAR(B37),MONTH(B37)-2,1),Indices!$B:$F,2,0)</f>
        <v>960.14</v>
      </c>
      <c r="E37" s="228">
        <f>+VLOOKUP(DATE(YEAR(B37),MONTH(B37)-7,1),Indices!$B:$F,4,0)</f>
        <v>261.33800000000002</v>
      </c>
      <c r="F37" s="228">
        <f>+VLOOKUP(DATE(YEAR(B37),MONTH(B37)-7,1),Indices!$B:$F,5,0)</f>
        <v>252.85599999999999</v>
      </c>
      <c r="G37" s="233">
        <f>+VLOOKUP(DATE(YEAR(B37),MONTH(B37)-2,1),Indices!$B:$F,3,0)</f>
        <v>137.02000000000001</v>
      </c>
      <c r="H37" s="234" t="s">
        <v>48</v>
      </c>
      <c r="I37" s="233">
        <f>(VLOOKUP(B37,Parámetros!$C:$Q,5,0)*E37/Indices!$P$7+VLOOKUP(B37,Parámetros!$C:$Q,6,0)*F37/Indices!$Q$7+VLOOKUP(B37,Parámetros!$C:$Q,7,0)*G37/Indices!$R$7*Indices!$O$7/D37)*Parámetros!F41</f>
        <v>632.39358577033579</v>
      </c>
      <c r="J37" s="233">
        <f>+(VLOOKUP($B37,Parámetros!$C:$L,9,0)*F37/Indices!$Q$7+VLOOKUP($B37,Parámetros!$C:$L,10,0)*Indices!$O$7/D37*G37/Indices!$R$7)*Parámetros!J41</f>
        <v>85.646934132778782</v>
      </c>
      <c r="K37" s="233">
        <f>+(VLOOKUP(B37,Parámetros!$C:$O,12,0)*F37/Indices!$Q$7+VLOOKUP(B37,Parámetros!$C:$O,13,0)*Indices!$O$7/D37*G37/Indices!$R$7)*Parámetros!M41</f>
        <v>13.104787811968098</v>
      </c>
      <c r="L37" s="233">
        <f>+Parámetros!P41*Indices!$O$7/D37*G37/Indices!$R$7</f>
        <v>1.18469118356784</v>
      </c>
      <c r="M37" s="290">
        <f>+ROUND(ROUND(((I37*VLOOKUP($B37,Parámetros!$C:$AL,33,0)+J37*VLOOKUP($B37,Parámetros!$C:$AL,34,0)+K37*VLOOKUP($B37,Parámetros!$C:$AL,35,0))*VLOOKUP($B37,Parámetros!$C:$AL,36,0)+L37)*(VLOOKUP($B37,Parámetros!$C:$AL,16,0))*(VLOOKUP($B37,Parámetros!$C:$AL,17,0)),Indices!$T$7)*D37,Indices!$U$7)</f>
        <v>8333.5400000000009</v>
      </c>
      <c r="N37" s="290">
        <f>+VLOOKUP($B37,Parámetros!$C:$AL,15,0)</f>
        <v>7793.57</v>
      </c>
      <c r="O37" s="291">
        <f t="shared" ref="O37" si="37">+M37/N37-1</f>
        <v>6.9284037995424486E-2</v>
      </c>
      <c r="P37" s="292" t="s">
        <v>56</v>
      </c>
      <c r="Q37" s="290">
        <f>(VLOOKUP(B37,Parámetros!$C:$AL,20,0)*E37/Indices!$P$7+VLOOKUP(B37,Parámetros!$C:$AL,21,0)*F37/Indices!$Q$7+VLOOKUP(B37,Parámetros!$C:$AL,22,0)*G37/Indices!$R$7*Indices!$O$7/D37)*Parámetros!U41</f>
        <v>607.01196840619491</v>
      </c>
      <c r="R37" s="290">
        <f>+(VLOOKUP(B37,Parámetros!$C:$AL,24,0)*F37/Indices!$Q$7+VLOOKUP(B37,Parámetros!$C:$AL,25,0)*Indices!$O$7/D37*G37/Indices!$R$7)*Parámetros!Y41</f>
        <v>80.993388049823693</v>
      </c>
      <c r="S37" s="290">
        <f>+(VLOOKUP(B37,Parámetros!$C:$AL,27,0)*F37/Indices!$Q$7+VLOOKUP(B37,Parámetros!$C:$AL,28,0)*Indices!$O$7/D37*G37/Indices!$R$7)*Parámetros!AB41</f>
        <v>8.445940960477115</v>
      </c>
      <c r="T37" s="290">
        <f>Parámetros!AE41*Indices!$O$7/D37*G37/Indices!$R$7</f>
        <v>1.0198831959712296</v>
      </c>
      <c r="U37" s="290">
        <f>+ROUND(ROUND(((Q37*VLOOKUP($B37,Parámetros!$C:$AL,33,0)+R37*VLOOKUP($B37,Parámetros!$C:$AL,34,0)+S37*VLOOKUP($B37,Parámetros!$C:$AL,35,0))*VLOOKUP($B37,Parámetros!$C:$AL,36,0)+T37)*(VLOOKUP($B37,Parámetros!$C:$AL,31,0))*(VLOOKUP($B37,Parámetros!$C:$AL,32,0)),Indices!$T$7)*D37,Indices!$U$7)</f>
        <v>7823.32</v>
      </c>
      <c r="V37" s="233">
        <f>+VLOOKUP($B37,Parámetros!$C:$AL,30,0)</f>
        <v>7303.36</v>
      </c>
      <c r="W37" s="235">
        <f t="shared" ref="W37" si="38">+U37/V37-1</f>
        <v>7.1194628225912382E-2</v>
      </c>
    </row>
    <row r="38" spans="2:23" x14ac:dyDescent="0.2">
      <c r="B38" s="194">
        <v>45474</v>
      </c>
      <c r="C38" s="194" t="s">
        <v>138</v>
      </c>
      <c r="D38" s="227">
        <f>+VLOOKUP(DATE(YEAR(B38),MONTH(B38)-2,1),Indices!$B:$F,2,0)</f>
        <v>917.88</v>
      </c>
      <c r="E38" s="258">
        <f>+VLOOKUP(DATE(YEAR(B38),MONTH(B38)-7,1),Indices!$B:$F,4,0)</f>
        <v>261.56700000000001</v>
      </c>
      <c r="F38" s="258">
        <f>+VLOOKUP(DATE(YEAR(B38),MONTH(B38)-7,1),Indices!$B:$F,5,0)</f>
        <v>249.86600000000001</v>
      </c>
      <c r="G38" s="227">
        <f>+VLOOKUP(DATE(YEAR(B38),MONTH(B38)-2,1),Indices!$B:$F,3,0)</f>
        <v>137.38999999999999</v>
      </c>
      <c r="H38" s="232" t="s">
        <v>48</v>
      </c>
      <c r="I38" s="227">
        <f>(VLOOKUP(B38,Parámetros!$C:$Q,5,0)*E38/Indices!$P$7+VLOOKUP(B38,Parámetros!$C:$Q,6,0)*F38/Indices!$Q$7+VLOOKUP(B38,Parámetros!$C:$Q,7,0)*G38/Indices!$R$7*Indices!$O$7/D38)*Parámetros!F42</f>
        <v>638.420331680662</v>
      </c>
      <c r="J38" s="227">
        <f>+(VLOOKUP($B38,Parámetros!$C:$L,9,0)*F38/Indices!$Q$7+VLOOKUP($B38,Parámetros!$C:$L,10,0)*Indices!$O$7/D38*G38/Indices!$R$7)*Parámetros!J42</f>
        <v>86.76357159589584</v>
      </c>
      <c r="K38" s="227">
        <f>+(VLOOKUP(B38,Parámetros!$C:$O,12,0)*F38/Indices!$Q$7+VLOOKUP(B38,Parámetros!$C:$O,13,0)*Indices!$O$7/D38*G38/Indices!$R$7)*Parámetros!M42</f>
        <v>13.605502413406105</v>
      </c>
      <c r="L38" s="227">
        <f>+Parámetros!P42*Indices!$O$7/D38*G38/Indices!$R$7</f>
        <v>1.2425817560249526</v>
      </c>
      <c r="M38" s="294">
        <f>+ROUND(ROUND(((I38*VLOOKUP($B38,Parámetros!$C:$AL,33,0)+J38*VLOOKUP($B38,Parámetros!$C:$AL,34,0)+K38*VLOOKUP($B38,Parámetros!$C:$AL,35,0))*VLOOKUP($B38,Parámetros!$C:$AL,36,0)+L38)*(VLOOKUP($B38,Parámetros!$C:$AL,16,0))*(VLOOKUP($B38,Parámetros!$C:$AL,17,0)),Indices!$T$7)*D38,Indices!$U$7)</f>
        <v>8095.79</v>
      </c>
      <c r="N38" s="294">
        <f>+VLOOKUP($B38,Parámetros!$C:$AL,15,0)</f>
        <v>7793.57</v>
      </c>
      <c r="O38" s="303">
        <f t="shared" ref="O38" si="39">+M38/N38-1</f>
        <v>3.8778120938158134E-2</v>
      </c>
      <c r="P38" s="295" t="s">
        <v>56</v>
      </c>
      <c r="Q38" s="294">
        <f>(VLOOKUP(B38,Parámetros!$C:$AL,20,0)*E38/Indices!$P$7+VLOOKUP(B38,Parámetros!$C:$AL,21,0)*F38/Indices!$Q$7+VLOOKUP(B38,Parámetros!$C:$AL,22,0)*G38/Indices!$R$7*Indices!$O$7/D38)*Parámetros!U42</f>
        <v>612.68273933826663</v>
      </c>
      <c r="R38" s="294">
        <f>+(VLOOKUP(B38,Parámetros!$C:$AL,24,0)*F38/Indices!$Q$7+VLOOKUP(B38,Parámetros!$C:$AL,25,0)*Indices!$O$7/D38*G38/Indices!$R$7)*Parámetros!Y42</f>
        <v>81.608490707279543</v>
      </c>
      <c r="S38" s="294">
        <f>+(VLOOKUP(B38,Parámetros!$C:$AL,27,0)*F38/Indices!$Q$7+VLOOKUP(B38,Parámetros!$C:$AL,28,0)*Indices!$O$7/D38*G38/Indices!$R$7)*Parámetros!AB42</f>
        <v>8.7856836832074237</v>
      </c>
      <c r="T38" s="294">
        <f>Parámetros!AE42*Indices!$O$7/D38*G38/Indices!$R$7</f>
        <v>1.0697203373909481</v>
      </c>
      <c r="U38" s="294">
        <f>+ROUND(ROUND(((Q38*VLOOKUP($B38,Parámetros!$C:$AL,33,0)+R38*VLOOKUP($B38,Parámetros!$C:$AL,34,0)+S38*VLOOKUP($B38,Parámetros!$C:$AL,35,0))*VLOOKUP($B38,Parámetros!$C:$AL,36,0)+T38)*(VLOOKUP($B38,Parámetros!$C:$AL,31,0))*(VLOOKUP($B38,Parámetros!$C:$AL,32,0)),Indices!$T$7)*D38,Indices!$U$7)</f>
        <v>7590.78</v>
      </c>
      <c r="V38" s="227">
        <f>+VLOOKUP($B38,Parámetros!$C:$AL,30,0)</f>
        <v>7303.36</v>
      </c>
      <c r="W38" s="230">
        <f t="shared" ref="W38" si="40">+U38/V38-1</f>
        <v>3.9354488892783701E-2</v>
      </c>
    </row>
    <row r="39" spans="2:23" x14ac:dyDescent="0.2">
      <c r="B39" s="38">
        <v>45505</v>
      </c>
      <c r="C39" s="38" t="s">
        <v>138</v>
      </c>
      <c r="D39" s="233">
        <f>+VLOOKUP(DATE(YEAR(B39),MONTH(B39)-2,1),Indices!$B:$F,2,0)</f>
        <v>926.08</v>
      </c>
      <c r="E39" s="228">
        <f>+VLOOKUP(DATE(YEAR(B39),MONTH(B39)-7,1),Indices!$B:$F,4,0)</f>
        <v>262.47199999999998</v>
      </c>
      <c r="F39" s="228">
        <f>+VLOOKUP(DATE(YEAR(B39),MONTH(B39)-7,1),Indices!$B:$F,5,0)</f>
        <v>251.30600000000001</v>
      </c>
      <c r="G39" s="233">
        <f>+VLOOKUP(DATE(YEAR(B39),MONTH(B39)-2,1),Indices!$B:$F,3,0)</f>
        <v>137.26</v>
      </c>
      <c r="H39" s="234" t="s">
        <v>48</v>
      </c>
      <c r="I39" s="233">
        <f>(VLOOKUP(B39,Parámetros!$C:$Q,5,0)*E39/Indices!$P$7+VLOOKUP(B39,Parámetros!$C:$Q,6,0)*F39/Indices!$Q$7+VLOOKUP(B39,Parámetros!$C:$Q,7,0)*G39/Indices!$R$7*Indices!$O$7/D39)*Parámetros!F43</f>
        <v>638.98672041525003</v>
      </c>
      <c r="J39" s="233">
        <f>+(VLOOKUP($B39,Parámetros!$C:$L,9,0)*F39/Indices!$Q$7+VLOOKUP($B39,Parámetros!$C:$L,10,0)*Indices!$O$7/D39*G39/Indices!$R$7)*Parámetros!J43</f>
        <v>86.691144222952772</v>
      </c>
      <c r="K39" s="233">
        <f>+(VLOOKUP(B39,Parámetros!$C:$O,12,0)*F39/Indices!$Q$7+VLOOKUP(B39,Parámetros!$C:$O,13,0)*Indices!$O$7/D39*G39/Indices!$R$7)*Parámetros!M43</f>
        <v>13.507644601255768</v>
      </c>
      <c r="L39" s="233">
        <f>+Parámetros!P43*Indices!$O$7/D39*G39/Indices!$R$7</f>
        <v>1.2304139483065246</v>
      </c>
      <c r="M39" s="290">
        <f>+ROUND(ROUND(((I39*VLOOKUP($B39,Parámetros!$C:$AL,33,0)+J39*VLOOKUP($B39,Parámetros!$C:$AL,34,0)+K39*VLOOKUP($B39,Parámetros!$C:$AL,35,0))*VLOOKUP($B39,Parámetros!$C:$AL,36,0)+L39)*(VLOOKUP($B39,Parámetros!$C:$AL,16,0))*(VLOOKUP($B39,Parámetros!$C:$AL,17,0)),Indices!$T$7)*D39,Indices!$U$7)</f>
        <v>8159.51</v>
      </c>
      <c r="N39" s="290">
        <f>+VLOOKUP($B39,Parámetros!$C:$AL,15,0)</f>
        <v>7793.57</v>
      </c>
      <c r="O39" s="291">
        <f t="shared" ref="O39" si="41">+M39/N39-1</f>
        <v>4.695409164221287E-2</v>
      </c>
      <c r="P39" s="292" t="s">
        <v>56</v>
      </c>
      <c r="Q39" s="290">
        <f>(VLOOKUP(B39,Parámetros!$C:$AL,20,0)*E39/Indices!$P$7+VLOOKUP(B39,Parámetros!$C:$AL,21,0)*F39/Indices!$Q$7+VLOOKUP(B39,Parámetros!$C:$AL,22,0)*G39/Indices!$R$7*Indices!$O$7/D39)*Parámetros!U43</f>
        <v>613.25878884176745</v>
      </c>
      <c r="R39" s="290">
        <f>+(VLOOKUP(B39,Parámetros!$C:$AL,24,0)*F39/Indices!$Q$7+VLOOKUP(B39,Parámetros!$C:$AL,25,0)*Indices!$O$7/D39*G39/Indices!$R$7)*Parámetros!Y43</f>
        <v>81.655976333910942</v>
      </c>
      <c r="S39" s="290">
        <f>+(VLOOKUP(B39,Parámetros!$C:$AL,27,0)*F39/Indices!$Q$7+VLOOKUP(B39,Parámetros!$C:$AL,28,0)*Indices!$O$7/D39*G39/Indices!$R$7)*Parámetros!AB43</f>
        <v>8.718133435038725</v>
      </c>
      <c r="T39" s="290">
        <f>Parámetros!AE43*Indices!$O$7/D39*G39/Indices!$R$7</f>
        <v>1.0592452508908019</v>
      </c>
      <c r="U39" s="290">
        <f>+ROUND(ROUND(((Q39*VLOOKUP($B39,Parámetros!$C:$AL,33,0)+R39*VLOOKUP($B39,Parámetros!$C:$AL,34,0)+S39*VLOOKUP($B39,Parámetros!$C:$AL,35,0))*VLOOKUP($B39,Parámetros!$C:$AL,36,0)+T39)*(VLOOKUP($B39,Parámetros!$C:$AL,31,0))*(VLOOKUP($B39,Parámetros!$C:$AL,32,0)),Indices!$T$7)*D39,Indices!$U$7)</f>
        <v>7653.13</v>
      </c>
      <c r="V39" s="233">
        <f>+VLOOKUP($B39,Parámetros!$C:$AL,30,0)</f>
        <v>7303.36</v>
      </c>
      <c r="W39" s="235">
        <f t="shared" ref="W39" si="42">+U39/V39-1</f>
        <v>4.7891655347675588E-2</v>
      </c>
    </row>
    <row r="40" spans="2:23" x14ac:dyDescent="0.2">
      <c r="B40" s="194">
        <v>45536</v>
      </c>
      <c r="C40" s="194" t="s">
        <v>138</v>
      </c>
      <c r="D40" s="227">
        <f>+VLOOKUP(DATE(YEAR(B40),MONTH(B40)-2,1),Indices!$B:$F,2,0)</f>
        <v>937.56</v>
      </c>
      <c r="E40" s="258">
        <f>+VLOOKUP(DATE(YEAR(B40),MONTH(B40)-7,1),Indices!$B:$F,4,0)</f>
        <v>262.49200000000002</v>
      </c>
      <c r="F40" s="258">
        <f>+VLOOKUP(DATE(YEAR(B40),MONTH(B40)-7,1),Indices!$B:$F,5,0)</f>
        <v>254.92599999999999</v>
      </c>
      <c r="G40" s="227">
        <f>+VLOOKUP(DATE(YEAR(B40),MONTH(B40)-2,1),Indices!$B:$F,3,0)</f>
        <v>138.28</v>
      </c>
      <c r="H40" s="232" t="s">
        <v>48</v>
      </c>
      <c r="I40" s="227">
        <f>(VLOOKUP(B40,Parámetros!$C:$Q,5,0)*E40/Indices!$P$7+VLOOKUP(B40,Parámetros!$C:$Q,6,0)*F40/Indices!$Q$7+VLOOKUP(B40,Parámetros!$C:$Q,7,0)*G40/Indices!$R$7*Indices!$O$7/D40)*Parámetros!F44</f>
        <v>638.9719743744472</v>
      </c>
      <c r="J40" s="227">
        <f>+(VLOOKUP($B40,Parámetros!$C:$L,9,0)*F40/Indices!$Q$7+VLOOKUP($B40,Parámetros!$C:$L,10,0)*Indices!$O$7/D40*G40/Indices!$R$7)*Parámetros!J44</f>
        <v>87.236274364621877</v>
      </c>
      <c r="K40" s="227">
        <f>+(VLOOKUP(B40,Parámetros!$C:$O,12,0)*F40/Indices!$Q$7+VLOOKUP(B40,Parámetros!$C:$O,13,0)*Indices!$O$7/D40*G40/Indices!$R$7)*Parámetros!M44</f>
        <v>13.485558741215884</v>
      </c>
      <c r="L40" s="227">
        <f>+Parámetros!P44*Indices!$O$7/D40*G40/Indices!$R$7</f>
        <v>1.2243795206060941</v>
      </c>
      <c r="M40" s="294">
        <f>+ROUND(ROUND(((I40*VLOOKUP($B40,Parámetros!$C:$AL,33,0)+J40*VLOOKUP($B40,Parámetros!$C:$AL,34,0)+K40*VLOOKUP($B40,Parámetros!$C:$AL,35,0))*VLOOKUP($B40,Parámetros!$C:$AL,36,0)+L40)*(VLOOKUP($B40,Parámetros!$C:$AL,16,0))*(VLOOKUP($B40,Parámetros!$C:$AL,17,0)),Indices!$T$7)*D40,Indices!$U$7)</f>
        <v>8258.8700000000008</v>
      </c>
      <c r="N40" s="294">
        <f>+VLOOKUP($B40,Parámetros!$C:$AL,15,0)</f>
        <v>7793.57</v>
      </c>
      <c r="O40" s="303">
        <f t="shared" ref="O40" si="43">+M40/N40-1</f>
        <v>5.9703062909552518E-2</v>
      </c>
      <c r="P40" s="295" t="s">
        <v>56</v>
      </c>
      <c r="Q40" s="294">
        <f>(VLOOKUP(B40,Parámetros!$C:$AL,20,0)*E40/Indices!$P$7+VLOOKUP(B40,Parámetros!$C:$AL,21,0)*F40/Indices!$Q$7+VLOOKUP(B40,Parámetros!$C:$AL,22,0)*G40/Indices!$R$7*Indices!$O$7/D40)*Parámetros!U44</f>
        <v>613.2592812079472</v>
      </c>
      <c r="R40" s="294">
        <f>+(VLOOKUP(B40,Parámetros!$C:$AL,24,0)*F40/Indices!$Q$7+VLOOKUP(B40,Parámetros!$C:$AL,25,0)*Indices!$O$7/D40*G40/Indices!$R$7)*Parámetros!Y44</f>
        <v>82.312484986562737</v>
      </c>
      <c r="S40" s="294">
        <f>+(VLOOKUP(B40,Parámetros!$C:$AL,27,0)*F40/Indices!$Q$7+VLOOKUP(B40,Parámetros!$C:$AL,28,0)*Indices!$O$7/D40*G40/Indices!$R$7)*Parámetros!AB44</f>
        <v>8.6984508454469491</v>
      </c>
      <c r="T40" s="294">
        <f>Parámetros!AE44*Indices!$O$7/D40*G40/Indices!$R$7</f>
        <v>1.0540503009373148</v>
      </c>
      <c r="U40" s="294">
        <f>+ROUND(ROUND(((Q40*VLOOKUP($B40,Parámetros!$C:$AL,33,0)+R40*VLOOKUP($B40,Parámetros!$C:$AL,34,0)+S40*VLOOKUP($B40,Parámetros!$C:$AL,35,0))*VLOOKUP($B40,Parámetros!$C:$AL,36,0)+T40)*(VLOOKUP($B40,Parámetros!$C:$AL,31,0))*(VLOOKUP($B40,Parámetros!$C:$AL,32,0)),Indices!$T$7)*D40,Indices!$U$7)</f>
        <v>7748.28</v>
      </c>
      <c r="V40" s="227">
        <f>+VLOOKUP($B40,Parámetros!$C:$AL,30,0)</f>
        <v>7303.36</v>
      </c>
      <c r="W40" s="230">
        <f t="shared" ref="W40" si="44">+U40/V40-1</f>
        <v>6.0919905358629567E-2</v>
      </c>
    </row>
    <row r="41" spans="2:23" x14ac:dyDescent="0.2">
      <c r="B41" s="38">
        <v>45566</v>
      </c>
      <c r="C41" s="38" t="s">
        <v>140</v>
      </c>
      <c r="D41" s="233">
        <f>+VLOOKUP(DATE(YEAR(B41),MONTH(B41)-2,1),Indices!$B:$F,2,0)</f>
        <v>929.9</v>
      </c>
      <c r="E41" s="228">
        <f>+VLOOKUP(DATE(YEAR(B41),MONTH(B41)-7,1),Indices!$B:$F,4,0)</f>
        <v>262.99200000000002</v>
      </c>
      <c r="F41" s="228">
        <f>+VLOOKUP(DATE(YEAR(B41),MONTH(B41)-7,1),Indices!$B:$F,5,0)</f>
        <v>255.095</v>
      </c>
      <c r="G41" s="233">
        <f>+VLOOKUP(DATE(YEAR(B41),MONTH(B41)-2,1),Indices!$B:$F,3,0)</f>
        <v>138.63</v>
      </c>
      <c r="H41" s="234" t="s">
        <v>48</v>
      </c>
      <c r="I41" s="233">
        <f>(VLOOKUP(B41,Parámetros!$C:$Q,5,0)*E41/Indices!$P$7+VLOOKUP(B41,Parámetros!$C:$Q,6,0)*F41/Indices!$Q$7+VLOOKUP(B41,Parámetros!$C:$Q,7,0)*G41/Indices!$R$7*Indices!$O$7/D41)*Parámetros!F45</f>
        <v>641.2844113303546</v>
      </c>
      <c r="J41" s="233">
        <f>+(VLOOKUP($B41,Parámetros!$C:$L,9,0)*F41/Indices!$Q$7+VLOOKUP($B41,Parámetros!$C:$L,10,0)*Indices!$O$7/D41*G41/Indices!$R$7)*Parámetros!J45</f>
        <v>87.661309516605172</v>
      </c>
      <c r="K41" s="233">
        <f>+(VLOOKUP(B41,Parámetros!$C:$O,12,0)*F41/Indices!$Q$7+VLOOKUP(B41,Parámetros!$C:$O,13,0)*Indices!$O$7/D41*G41/Indices!$R$7)*Parámetros!M45</f>
        <v>13.607566439886039</v>
      </c>
      <c r="L41" s="233">
        <f>+Parámetros!P45*Indices!$O$7/D41*G41/Indices!$R$7</f>
        <v>1.2375898299610002</v>
      </c>
      <c r="M41" s="290">
        <f>+ROUND(ROUND(((I41*VLOOKUP($B41,Parámetros!$C:$AL,33,0)+J41*VLOOKUP($B41,Parámetros!$C:$AL,34,0)+K41*VLOOKUP($B41,Parámetros!$C:$AL,35,0))*VLOOKUP($B41,Parámetros!$C:$AL,36,0)+L41)*(VLOOKUP($B41,Parámetros!$C:$AL,16,0))*(VLOOKUP($B41,Parámetros!$C:$AL,17,0)),Indices!$T$7)*D41,Indices!$U$7)</f>
        <v>8231.66</v>
      </c>
      <c r="N41" s="290">
        <f>+VLOOKUP($B41,Parámetros!$C:$AL,15,0)</f>
        <v>8095.98</v>
      </c>
      <c r="O41" s="291">
        <f t="shared" ref="O41" si="45">+M41/N41-1</f>
        <v>1.675893468116274E-2</v>
      </c>
      <c r="P41" s="292" t="s">
        <v>56</v>
      </c>
      <c r="Q41" s="290">
        <f>(VLOOKUP(B41,Parámetros!$C:$AL,20,0)*E41/Indices!$P$7+VLOOKUP(B41,Parámetros!$C:$AL,21,0)*F41/Indices!$Q$7+VLOOKUP(B41,Parámetros!$C:$AL,22,0)*G41/Indices!$R$7*Indices!$O$7/D41)*Parámetros!U45</f>
        <v>615.45716531877383</v>
      </c>
      <c r="R41" s="290">
        <f>+(VLOOKUP(B41,Parámetros!$C:$AL,24,0)*F41/Indices!$Q$7+VLOOKUP(B41,Parámetros!$C:$AL,25,0)*Indices!$O$7/D41*G41/Indices!$R$7)*Parámetros!Y45</f>
        <v>82.638280135588388</v>
      </c>
      <c r="S41" s="290">
        <f>+(VLOOKUP(B41,Parámetros!$C:$AL,27,0)*F41/Indices!$Q$7+VLOOKUP(B41,Parámetros!$C:$AL,28,0)*Indices!$O$7/D41*G41/Indices!$R$7)*Parámetros!AB45</f>
        <v>8.7800263529521043</v>
      </c>
      <c r="T41" s="290">
        <f>Parámetros!AE45*Indices!$O$7/D41*G41/Indices!$R$7</f>
        <v>1.06542286174601</v>
      </c>
      <c r="U41" s="290">
        <f>+ROUND(ROUND(((Q41*VLOOKUP($B41,Parámetros!$C:$AL,33,0)+R41*VLOOKUP($B41,Parámetros!$C:$AL,34,0)+S41*VLOOKUP($B41,Parámetros!$C:$AL,35,0))*VLOOKUP($B41,Parámetros!$C:$AL,36,0)+T41)*(VLOOKUP($B41,Parámetros!$C:$AL,31,0))*(VLOOKUP($B41,Parámetros!$C:$AL,32,0)),Indices!$T$7)*D41,Indices!$U$7)</f>
        <v>7720.96</v>
      </c>
      <c r="V41" s="233">
        <f>+VLOOKUP($B41,Parámetros!$C:$AL,30,0)</f>
        <v>7590.87</v>
      </c>
      <c r="W41" s="235">
        <f t="shared" ref="W41" si="46">+U41/V41-1</f>
        <v>1.7137693044407376E-2</v>
      </c>
    </row>
    <row r="42" spans="2:23" x14ac:dyDescent="0.2">
      <c r="B42" s="194">
        <v>45597</v>
      </c>
      <c r="C42" s="194" t="s">
        <v>140</v>
      </c>
      <c r="D42" s="227">
        <f>+VLOOKUP(DATE(YEAR(B42),MONTH(B42)-2,1),Indices!$B:$F,2,0)</f>
        <v>926.21</v>
      </c>
      <c r="E42" s="258">
        <f>+VLOOKUP(DATE(YEAR(B42),MONTH(B42)-7,1),Indices!$B:$F,4,0)</f>
        <v>264.50099999999998</v>
      </c>
      <c r="F42" s="258">
        <f>+VLOOKUP(DATE(YEAR(B42),MONTH(B42)-7,1),Indices!$B:$F,5,0)</f>
        <v>256.97800000000001</v>
      </c>
      <c r="G42" s="227">
        <f>+VLOOKUP(DATE(YEAR(B42),MONTH(B42)-2,1),Indices!$B:$F,3,0)</f>
        <v>138.75</v>
      </c>
      <c r="H42" s="232" t="s">
        <v>48</v>
      </c>
      <c r="I42" s="227">
        <f>(VLOOKUP(B42,Parámetros!$C:$Q,5,0)*E42/Indices!$P$7+VLOOKUP(B42,Parámetros!$C:$Q,6,0)*F42/Indices!$Q$7+VLOOKUP(B42,Parámetros!$C:$Q,7,0)*G42/Indices!$R$7*Indices!$O$7/D42)*Parámetros!F46</f>
        <v>644.91640091288718</v>
      </c>
      <c r="J42" s="227">
        <f>+(VLOOKUP($B42,Parámetros!$C:$L,9,0)*F42/Indices!$Q$7+VLOOKUP($B42,Parámetros!$C:$L,10,0)*Indices!$O$7/D42*G42/Indices!$R$7)*Parámetros!J46</f>
        <v>88.215709083984436</v>
      </c>
      <c r="K42" s="227">
        <f>+(VLOOKUP(B42,Parámetros!$C:$O,12,0)*F42/Indices!$Q$7+VLOOKUP(B42,Parámetros!$C:$O,13,0)*Indices!$O$7/D42*G42/Indices!$R$7)*Parámetros!M46</f>
        <v>13.679474539650174</v>
      </c>
      <c r="L42" s="227">
        <f>+Parámetros!P46*Indices!$O$7/D42*G42/Indices!$R$7</f>
        <v>1.2435959026669701</v>
      </c>
      <c r="M42" s="294">
        <f>+ROUND(ROUND(((I42*VLOOKUP($B42,Parámetros!$C:$AL,33,0)+J42*VLOOKUP($B42,Parámetros!$C:$AL,34,0)+K42*VLOOKUP($B42,Parámetros!$C:$AL,35,0))*VLOOKUP($B42,Parámetros!$C:$AL,36,0)+L42)*(VLOOKUP($B42,Parámetros!$C:$AL,16,0))*(VLOOKUP($B42,Parámetros!$C:$AL,17,0)),Indices!$T$7)*D42,Indices!$U$7)</f>
        <v>8244.94</v>
      </c>
      <c r="N42" s="294">
        <f>+VLOOKUP($B42,Parámetros!$C:$AL,15,0)</f>
        <v>8095.98</v>
      </c>
      <c r="O42" s="303">
        <f t="shared" ref="O42" si="47">+M42/N42-1</f>
        <v>1.8399254938870957E-2</v>
      </c>
      <c r="P42" s="295" t="s">
        <v>56</v>
      </c>
      <c r="Q42" s="294">
        <f>(VLOOKUP(B42,Parámetros!$C:$AL,20,0)*E42/Indices!$P$7+VLOOKUP(B42,Parámetros!$C:$AL,21,0)*F42/Indices!$Q$7+VLOOKUP(B42,Parámetros!$C:$AL,22,0)*G42/Indices!$R$7*Indices!$O$7/D42)*Parámetros!U46</f>
        <v>618.94532868397118</v>
      </c>
      <c r="R42" s="294">
        <f>+(VLOOKUP(B42,Parámetros!$C:$AL,24,0)*F42/Indices!$Q$7+VLOOKUP(B42,Parámetros!$C:$AL,25,0)*Indices!$O$7/D42*G42/Indices!$R$7)*Parámetros!Y46</f>
        <v>83.179825134398328</v>
      </c>
      <c r="S42" s="294">
        <f>+(VLOOKUP(B42,Parámetros!$C:$AL,27,0)*F42/Indices!$Q$7+VLOOKUP(B42,Parámetros!$C:$AL,28,0)*Indices!$O$7/D42*G42/Indices!$R$7)*Parámetros!AB46</f>
        <v>8.8257033271180845</v>
      </c>
      <c r="T42" s="294">
        <f>Parámetros!AE46*Indices!$O$7/D42*G42/Indices!$R$7</f>
        <v>1.0705934013022786</v>
      </c>
      <c r="U42" s="294">
        <f>+ROUND(ROUND(((Q42*VLOOKUP($B42,Parámetros!$C:$AL,33,0)+R42*VLOOKUP($B42,Parámetros!$C:$AL,34,0)+S42*VLOOKUP($B42,Parámetros!$C:$AL,35,0))*VLOOKUP($B42,Parámetros!$C:$AL,36,0)+T42)*(VLOOKUP($B42,Parámetros!$C:$AL,31,0))*(VLOOKUP($B42,Parámetros!$C:$AL,32,0)),Indices!$T$7)*D42,Indices!$U$7)</f>
        <v>7733.67</v>
      </c>
      <c r="V42" s="227">
        <f>+VLOOKUP($B42,Parámetros!$C:$AL,30,0)</f>
        <v>7590.87</v>
      </c>
      <c r="W42" s="230">
        <f t="shared" ref="W42" si="48">+U42/V42-1</f>
        <v>1.8812072924447421E-2</v>
      </c>
    </row>
    <row r="43" spans="2:23" x14ac:dyDescent="0.2">
      <c r="B43" s="38">
        <v>45627</v>
      </c>
      <c r="C43" s="38" t="s">
        <v>140</v>
      </c>
      <c r="D43" s="233">
        <f>+VLOOKUP(DATE(YEAR(B43),MONTH(B43)-2,1),Indices!$B:$F,2,0)</f>
        <v>933.81</v>
      </c>
      <c r="E43" s="228">
        <f>+VLOOKUP(DATE(YEAR(B43),MONTH(B43)-7,1),Indices!$B:$F,4,0)</f>
        <v>265.27600000000001</v>
      </c>
      <c r="F43" s="228">
        <f>+VLOOKUP(DATE(YEAR(B43),MONTH(B43)-7,1),Indices!$B:$F,5,0)</f>
        <v>255.31299999999999</v>
      </c>
      <c r="G43" s="233">
        <f>+VLOOKUP(DATE(YEAR(B43),MONTH(B43)-2,1),Indices!$B:$F,3,0)</f>
        <v>140.1</v>
      </c>
      <c r="H43" s="234" t="s">
        <v>48</v>
      </c>
      <c r="I43" s="233">
        <f>(VLOOKUP(B43,Parámetros!$C:$Q,5,0)*E43/Indices!$P$7+VLOOKUP(B43,Parámetros!$C:$Q,6,0)*F43/Indices!$Q$7+VLOOKUP(B43,Parámetros!$C:$Q,7,0)*G43/Indices!$R$7*Indices!$O$7/D43)*Parámetros!F47</f>
        <v>646.22903114294093</v>
      </c>
      <c r="J43" s="233">
        <f>+(VLOOKUP($B43,Parámetros!$C:$L,9,0)*F43/Indices!$Q$7+VLOOKUP($B43,Parámetros!$C:$L,10,0)*Indices!$O$7/D43*G43/Indices!$R$7)*Parámetros!J47</f>
        <v>87.938461283492273</v>
      </c>
      <c r="K43" s="233">
        <f>+(VLOOKUP(B43,Parámetros!$C:$O,12,0)*F43/Indices!$Q$7+VLOOKUP(B43,Parámetros!$C:$O,13,0)*Indices!$O$7/D43*G43/Indices!$R$7)*Parámetros!M47</f>
        <v>13.681467485789005</v>
      </c>
      <c r="L43" s="233">
        <f>+Parámetros!P47*Indices!$O$7/D43*G43/Indices!$R$7</f>
        <v>1.2454760229105797</v>
      </c>
      <c r="M43" s="290">
        <f>+ROUND(ROUND(((I43*VLOOKUP($B43,Parámetros!$C:$AL,33,0)+J43*VLOOKUP($B43,Parámetros!$C:$AL,34,0)+K43*VLOOKUP($B43,Parámetros!$C:$AL,35,0))*VLOOKUP($B43,Parámetros!$C:$AL,36,0)+L43)*(VLOOKUP($B43,Parámetros!$C:$AL,16,0))*(VLOOKUP($B43,Parámetros!$C:$AL,17,0)),Indices!$T$7)*D43,Indices!$U$7)</f>
        <v>8324.5400000000009</v>
      </c>
      <c r="N43" s="290">
        <f>+VLOOKUP($B43,Parámetros!$C:$AL,15,0)</f>
        <v>8095.98</v>
      </c>
      <c r="O43" s="291">
        <f t="shared" ref="O43" si="49">+M43/N43-1</f>
        <v>2.8231295037784321E-2</v>
      </c>
      <c r="P43" s="292" t="s">
        <v>56</v>
      </c>
      <c r="Q43" s="290">
        <f>(VLOOKUP(B43,Parámetros!$C:$AL,20,0)*E43/Indices!$P$7+VLOOKUP(B43,Parámetros!$C:$AL,21,0)*F43/Indices!$Q$7+VLOOKUP(B43,Parámetros!$C:$AL,22,0)*G43/Indices!$R$7*Indices!$O$7/D43)*Parámetros!U47</f>
        <v>620.20673833155831</v>
      </c>
      <c r="R43" s="290">
        <f>+(VLOOKUP(B43,Parámetros!$C:$AL,24,0)*F43/Indices!$Q$7+VLOOKUP(B43,Parámetros!$C:$AL,25,0)*Indices!$O$7/D43*G43/Indices!$R$7)*Parámetros!Y47</f>
        <v>82.858280396008681</v>
      </c>
      <c r="S43" s="290">
        <f>+(VLOOKUP(B43,Parámetros!$C:$AL,27,0)*F43/Indices!$Q$7+VLOOKUP(B43,Parámetros!$C:$AL,28,0)*Indices!$O$7/D43*G43/Indices!$R$7)*Parámetros!AB47</f>
        <v>8.8292815840399115</v>
      </c>
      <c r="T43" s="290">
        <f>Parámetros!AE47*Indices!$O$7/D43*G43/Indices!$R$7</f>
        <v>1.0722119691362082</v>
      </c>
      <c r="U43" s="290">
        <f>+ROUND(ROUND(((Q43*VLOOKUP($B43,Parámetros!$C:$AL,33,0)+R43*VLOOKUP($B43,Parámetros!$C:$AL,34,0)+S43*VLOOKUP($B43,Parámetros!$C:$AL,35,0))*VLOOKUP($B43,Parámetros!$C:$AL,36,0)+T43)*(VLOOKUP($B43,Parámetros!$C:$AL,31,0))*(VLOOKUP($B43,Parámetros!$C:$AL,32,0)),Indices!$T$7)*D43,Indices!$U$7)</f>
        <v>7807.96</v>
      </c>
      <c r="V43" s="233">
        <f>+VLOOKUP($B43,Parámetros!$C:$AL,30,0)</f>
        <v>7590.87</v>
      </c>
      <c r="W43" s="235">
        <f t="shared" ref="W43" si="50">+U43/V43-1</f>
        <v>2.8598829910142065E-2</v>
      </c>
    </row>
    <row r="44" spans="2:23" x14ac:dyDescent="0.2">
      <c r="B44" s="194">
        <v>45658</v>
      </c>
      <c r="C44" s="194" t="s">
        <v>140</v>
      </c>
      <c r="D44" s="227">
        <f>+VLOOKUP(DATE(YEAR(B44),MONTH(B44)-2,1),Indices!$B:$F,2,0)</f>
        <v>971.6</v>
      </c>
      <c r="E44" s="258">
        <f>+VLOOKUP(DATE(YEAR(B44),MONTH(B44)-7,1),Indices!$B:$F,4,0)</f>
        <v>266.238</v>
      </c>
      <c r="F44" s="258">
        <f>+VLOOKUP(DATE(YEAR(B44),MONTH(B44)-7,1),Indices!$B:$F,5,0)</f>
        <v>255.91399999999999</v>
      </c>
      <c r="G44" s="227">
        <f>+VLOOKUP(DATE(YEAR(B44),MONTH(B44)-2,1),Indices!$B:$F,3,0)</f>
        <v>140.46</v>
      </c>
      <c r="H44" s="232" t="s">
        <v>48</v>
      </c>
      <c r="I44" s="227">
        <f>(VLOOKUP(B44,Parámetros!$C:$Q,5,0)*E44/Indices!$P$7+VLOOKUP(B44,Parámetros!$C:$Q,6,0)*F44/Indices!$Q$7+VLOOKUP(B44,Parámetros!$C:$Q,7,0)*G44/Indices!$R$7*Indices!$O$7/D44)*Parámetros!F48</f>
        <v>643.26244178389334</v>
      </c>
      <c r="J44" s="227">
        <f>+(VLOOKUP($B44,Parámetros!$C:$L,9,0)*F44/Indices!$Q$7+VLOOKUP($B44,Parámetros!$C:$L,10,0)*Indices!$O$7/D44*G44/Indices!$R$7)*Parámetros!J48</f>
        <v>86.715044885075997</v>
      </c>
      <c r="K44" s="227">
        <f>+(VLOOKUP(B44,Parámetros!$C:$O,12,0)*F44/Indices!$Q$7+VLOOKUP(B44,Parámetros!$C:$O,13,0)*Indices!$O$7/D44*G44/Indices!$R$7)*Parámetros!M48</f>
        <v>13.273223914770352</v>
      </c>
      <c r="L44" s="227">
        <f>+Parámetros!P48*Indices!$O$7/D44*G44/Indices!$R$7</f>
        <v>1.2001096123296107</v>
      </c>
      <c r="M44" s="294">
        <f>+ROUND(ROUND(((I44*VLOOKUP($B44,Parámetros!$C:$AL,33,0)+J44*VLOOKUP($B44,Parámetros!$C:$AL,34,0)+K44*VLOOKUP($B44,Parámetros!$C:$AL,35,0))*VLOOKUP($B44,Parámetros!$C:$AL,36,0)+L44)*(VLOOKUP($B44,Parámetros!$C:$AL,16,0))*(VLOOKUP($B44,Parámetros!$C:$AL,17,0)),Indices!$T$7)*D44,Indices!$U$7)</f>
        <v>8568.44</v>
      </c>
      <c r="N44" s="294">
        <f>+VLOOKUP($B44,Parámetros!$C:$AL,15,0)</f>
        <v>8095.98</v>
      </c>
      <c r="O44" s="303">
        <f t="shared" ref="O44" si="51">+M44/N44-1</f>
        <v>5.8357357602168092E-2</v>
      </c>
      <c r="P44" s="295" t="s">
        <v>56</v>
      </c>
      <c r="Q44" s="294">
        <f>(VLOOKUP(B44,Parámetros!$C:$AL,20,0)*E44/Indices!$P$7+VLOOKUP(B44,Parámetros!$C:$AL,21,0)*F44/Indices!$Q$7+VLOOKUP(B44,Parámetros!$C:$AL,22,0)*G44/Indices!$R$7*Indices!$O$7/D44)*Parámetros!U48</f>
        <v>617.45673254661835</v>
      </c>
      <c r="R44" s="294">
        <f>+(VLOOKUP(B44,Parámetros!$C:$AL,24,0)*F44/Indices!$Q$7+VLOOKUP(B44,Parámetros!$C:$AL,25,0)*Indices!$O$7/D44*G44/Indices!$R$7)*Parámetros!Y48</f>
        <v>81.996774581468557</v>
      </c>
      <c r="S44" s="294">
        <f>+(VLOOKUP(B44,Parámetros!$C:$AL,27,0)*F44/Indices!$Q$7+VLOOKUP(B44,Parámetros!$C:$AL,28,0)*Indices!$O$7/D44*G44/Indices!$R$7)*Parámetros!AB48</f>
        <v>8.5547553022192133</v>
      </c>
      <c r="T44" s="294">
        <f>Parámetros!AE48*Indices!$O$7/D44*G44/Indices!$R$7</f>
        <v>1.0331566942638832</v>
      </c>
      <c r="U44" s="294">
        <f>+ROUND(ROUND(((Q44*VLOOKUP($B44,Parámetros!$C:$AL,33,0)+R44*VLOOKUP($B44,Parámetros!$C:$AL,34,0)+S44*VLOOKUP($B44,Parámetros!$C:$AL,35,0))*VLOOKUP($B44,Parámetros!$C:$AL,36,0)+T44)*(VLOOKUP($B44,Parámetros!$C:$AL,31,0))*(VLOOKUP($B44,Parámetros!$C:$AL,32,0)),Indices!$T$7)*D44,Indices!$U$7)</f>
        <v>8044.46</v>
      </c>
      <c r="V44" s="227">
        <f>+VLOOKUP($B44,Parámetros!$C:$AL,30,0)</f>
        <v>7590.87</v>
      </c>
      <c r="W44" s="230">
        <f t="shared" ref="W44" si="52">+U44/V44-1</f>
        <v>5.9754678976191133E-2</v>
      </c>
    </row>
    <row r="45" spans="2:23" x14ac:dyDescent="0.2">
      <c r="B45" s="38">
        <v>45689</v>
      </c>
      <c r="C45" s="38" t="s">
        <v>140</v>
      </c>
      <c r="D45" s="233">
        <f>+VLOOKUP(DATE(YEAR(B45),MONTH(B45)-2,1),Indices!$B:$F,2,0)</f>
        <v>982.3</v>
      </c>
      <c r="E45" s="228">
        <f>+VLOOKUP(DATE(YEAR(B45),MONTH(B45)-7,1),Indices!$B:$F,4,0)</f>
        <v>267.548</v>
      </c>
      <c r="F45" s="228">
        <f>+VLOOKUP(DATE(YEAR(B45),MONTH(B45)-7,1),Indices!$B:$F,5,0)</f>
        <v>257.32100000000003</v>
      </c>
      <c r="G45" s="233">
        <f>+VLOOKUP(DATE(YEAR(B45),MONTH(B45)-2,1),Indices!$B:$F,3,0)</f>
        <v>140.18</v>
      </c>
      <c r="H45" s="234" t="s">
        <v>48</v>
      </c>
      <c r="I45" s="233">
        <f>(VLOOKUP(B45,Parámetros!$C:$Q,5,0)*E45/Indices!$P$7+VLOOKUP(B45,Parámetros!$C:$Q,6,0)*F45/Indices!$Q$7+VLOOKUP(B45,Parámetros!$C:$Q,7,0)*G45/Indices!$R$7*Indices!$O$7/D45)*Parámetros!F49</f>
        <v>644.20187695459299</v>
      </c>
      <c r="J45" s="233">
        <f>+(VLOOKUP($B45,Parámetros!$C:$L,9,0)*F45/Indices!$Q$7+VLOOKUP($B45,Parámetros!$C:$L,10,0)*Indices!$O$7/D45*G45/Indices!$R$7)*Parámetros!J49</f>
        <v>86.539142107723791</v>
      </c>
      <c r="K45" s="233">
        <f>+(VLOOKUP(B45,Parámetros!$C:$O,12,0)*F45/Indices!$Q$7+VLOOKUP(B45,Parámetros!$C:$O,13,0)*Indices!$O$7/D45*G45/Indices!$R$7)*Parámetros!M49</f>
        <v>13.145235881794134</v>
      </c>
      <c r="L45" s="233">
        <f>+Parámetros!P49*Indices!$O$7/D45*G45/Indices!$R$7</f>
        <v>1.1846707560892009</v>
      </c>
      <c r="M45" s="290">
        <f>+ROUND(ROUND(((I45*VLOOKUP($B45,Parámetros!$C:$AL,33,0)+J45*VLOOKUP($B45,Parámetros!$C:$AL,34,0)+K45*VLOOKUP($B45,Parámetros!$C:$AL,35,0))*VLOOKUP($B45,Parámetros!$C:$AL,36,0)+L45)*(VLOOKUP($B45,Parámetros!$C:$AL,16,0))*(VLOOKUP($B45,Parámetros!$C:$AL,17,0)),Indices!$T$7)*D45,Indices!$U$7)</f>
        <v>8652.59</v>
      </c>
      <c r="N45" s="290">
        <f>+VLOOKUP($B45,Parámetros!$C:$AL,15,0)</f>
        <v>8095.98</v>
      </c>
      <c r="O45" s="291">
        <f t="shared" ref="O45" si="53">+M45/N45-1</f>
        <v>6.8751405018293132E-2</v>
      </c>
      <c r="P45" s="292" t="s">
        <v>56</v>
      </c>
      <c r="Q45" s="290">
        <f>(VLOOKUP(B45,Parámetros!$C:$AL,20,0)*E45/Indices!$P$7+VLOOKUP(B45,Parámetros!$C:$AL,21,0)*F45/Indices!$Q$7+VLOOKUP(B45,Parámetros!$C:$AL,22,0)*G45/Indices!$R$7*Indices!$O$7/D45)*Parámetros!U49</f>
        <v>618.40058802143039</v>
      </c>
      <c r="R45" s="290">
        <f>+(VLOOKUP(B45,Parámetros!$C:$AL,24,0)*F45/Indices!$Q$7+VLOOKUP(B45,Parámetros!$C:$AL,25,0)*Indices!$O$7/D45*G45/Indices!$R$7)*Parámetros!Y49</f>
        <v>81.965515984764494</v>
      </c>
      <c r="S45" s="290">
        <f>+(VLOOKUP(B45,Parámetros!$C:$AL,27,0)*F45/Indices!$Q$7+VLOOKUP(B45,Parámetros!$C:$AL,28,0)*Indices!$O$7/D45*G45/Indices!$R$7)*Parámetros!AB49</f>
        <v>8.4670479394427769</v>
      </c>
      <c r="T45" s="290">
        <f>Parámetros!AE49*Indices!$O$7/D45*G45/Indices!$R$7</f>
        <v>1.0198656102556536</v>
      </c>
      <c r="U45" s="290">
        <f>+ROUND(ROUND(((Q45*VLOOKUP($B45,Parámetros!$C:$AL,33,0)+R45*VLOOKUP($B45,Parámetros!$C:$AL,34,0)+S45*VLOOKUP($B45,Parámetros!$C:$AL,35,0))*VLOOKUP($B45,Parámetros!$C:$AL,36,0)+T45)*(VLOOKUP($B45,Parámetros!$C:$AL,31,0))*(VLOOKUP($B45,Parámetros!$C:$AL,32,0)),Indices!$T$7)*D45,Indices!$U$7)</f>
        <v>8126.96</v>
      </c>
      <c r="V45" s="233">
        <f>+VLOOKUP($B45,Parámetros!$C:$AL,30,0)</f>
        <v>7590.87</v>
      </c>
      <c r="W45" s="235">
        <f t="shared" ref="W45" si="54">+U45/V45-1</f>
        <v>7.0622998417836147E-2</v>
      </c>
    </row>
    <row r="46" spans="2:23" x14ac:dyDescent="0.2">
      <c r="B46" s="194">
        <v>45717</v>
      </c>
      <c r="C46" s="194" t="s">
        <v>140</v>
      </c>
      <c r="D46" s="227">
        <f>+VLOOKUP(DATE(YEAR(B46),MONTH(B46)-2,1),Indices!$B:$F,2,0)</f>
        <v>1000.76</v>
      </c>
      <c r="E46" s="258">
        <f>+VLOOKUP(DATE(YEAR(B46),MONTH(B46)-7,1),Indices!$B:$F,4,0)</f>
        <v>269.089</v>
      </c>
      <c r="F46" s="258">
        <f>+VLOOKUP(DATE(YEAR(B46),MONTH(B46)-7,1),Indices!$B:$F,5,0)</f>
        <v>255.46299999999999</v>
      </c>
      <c r="G46" s="227">
        <f>+VLOOKUP(DATE(YEAR(B46),MONTH(B46)-2,1),Indices!$B:$F,3,0)</f>
        <v>141.66999999999999</v>
      </c>
      <c r="H46" s="232" t="s">
        <v>48</v>
      </c>
      <c r="I46" s="227">
        <f>(VLOOKUP(B46,Parámetros!$C:$Q,5,0)*E46/Indices!$P$7+VLOOKUP(B46,Parámetros!$C:$Q,6,0)*F46/Indices!$Q$7+VLOOKUP(B46,Parámetros!$C:$Q,7,0)*G46/Indices!$R$7*Indices!$O$7/D46)*Parámetros!F50</f>
        <v>645.65235941133528</v>
      </c>
      <c r="J46" s="227">
        <f>+(VLOOKUP($B46,Parámetros!$C:$L,9,0)*F46/Indices!$Q$7+VLOOKUP($B46,Parámetros!$C:$L,10,0)*Indices!$O$7/D46*G46/Indices!$R$7)*Parámetros!J50</f>
        <v>85.886483111696009</v>
      </c>
      <c r="K46" s="227">
        <f>+(VLOOKUP(B46,Parámetros!$C:$O,12,0)*F46/Indices!$Q$7+VLOOKUP(B46,Parámetros!$C:$O,13,0)*Indices!$O$7/D46*G46/Indices!$R$7)*Parámetros!M50</f>
        <v>13.041760404050414</v>
      </c>
      <c r="L46" s="227">
        <f>+Parámetros!P50*Indices!$O$7/D46*G46/Indices!$R$7</f>
        <v>1.1751781600662394</v>
      </c>
      <c r="M46" s="294">
        <f>+ROUND(ROUND(((I46*VLOOKUP($B46,Parámetros!$C:$AL,33,0)+J46*VLOOKUP($B46,Parámetros!$C:$AL,34,0)+K46*VLOOKUP($B46,Parámetros!$C:$AL,35,0))*VLOOKUP($B46,Parámetros!$C:$AL,36,0)+L46)*(VLOOKUP($B46,Parámetros!$C:$AL,16,0))*(VLOOKUP($B46,Parámetros!$C:$AL,17,0)),Indices!$T$7)*D46,Indices!$U$7)</f>
        <v>8812.39</v>
      </c>
      <c r="N46" s="294">
        <f>+VLOOKUP($B46,Parámetros!$C:$AL,15,0)</f>
        <v>8095.98</v>
      </c>
      <c r="O46" s="303">
        <f t="shared" ref="O46" si="55">+M46/N46-1</f>
        <v>8.8489596071136489E-2</v>
      </c>
      <c r="P46" s="295" t="s">
        <v>56</v>
      </c>
      <c r="Q46" s="294">
        <f>(VLOOKUP(B46,Parámetros!$C:$AL,20,0)*E46/Indices!$P$7+VLOOKUP(B46,Parámetros!$C:$AL,21,0)*F46/Indices!$Q$7+VLOOKUP(B46,Parámetros!$C:$AL,22,0)*G46/Indices!$R$7*Indices!$O$7/D46)*Parámetros!U50</f>
        <v>619.82282419278226</v>
      </c>
      <c r="R46" s="294">
        <f>+(VLOOKUP(B46,Parámetros!$C:$AL,24,0)*F46/Indices!$Q$7+VLOOKUP(B46,Parámetros!$C:$AL,25,0)*Indices!$O$7/D46*G46/Indices!$R$7)*Parámetros!Y50</f>
        <v>81.353146795777675</v>
      </c>
      <c r="S46" s="294">
        <f>+(VLOOKUP(B46,Parámetros!$C:$AL,27,0)*F46/Indices!$Q$7+VLOOKUP(B46,Parámetros!$C:$AL,28,0)*Indices!$O$7/D46*G46/Indices!$R$7)*Parámetros!AB50</f>
        <v>8.4001721721429572</v>
      </c>
      <c r="T46" s="294">
        <f>Parámetros!AE50*Indices!$O$7/D46*G46/Indices!$R$7</f>
        <v>1.0116935741130317</v>
      </c>
      <c r="U46" s="294">
        <f>+ROUND(ROUND(((Q46*VLOOKUP($B46,Parámetros!$C:$AL,33,0)+R46*VLOOKUP($B46,Parámetros!$C:$AL,34,0)+S46*VLOOKUP($B46,Parámetros!$C:$AL,35,0))*VLOOKUP($B46,Parámetros!$C:$AL,36,0)+T46)*(VLOOKUP($B46,Parámetros!$C:$AL,31,0))*(VLOOKUP($B46,Parámetros!$C:$AL,32,0)),Indices!$T$7)*D46,Indices!$U$7)</f>
        <v>8278.69</v>
      </c>
      <c r="V46" s="227">
        <f>+VLOOKUP($B46,Parámetros!$C:$AL,30,0)</f>
        <v>7590.87</v>
      </c>
      <c r="W46" s="230">
        <f t="shared" ref="W46" si="56">+U46/V46-1</f>
        <v>9.0611484586088364E-2</v>
      </c>
    </row>
    <row r="47" spans="2:23" x14ac:dyDescent="0.2">
      <c r="B47" s="38">
        <v>45748</v>
      </c>
      <c r="C47" s="38" t="s">
        <v>141</v>
      </c>
      <c r="D47" s="233">
        <f>+VLOOKUP(DATE(YEAR(B47),MONTH(B47)-2,1),Indices!$B:$F,2,0)</f>
        <v>956.62</v>
      </c>
      <c r="E47" s="228">
        <f>+VLOOKUP(DATE(YEAR(B47),MONTH(B47)-7,1),Indices!$B:$F,4,0)</f>
        <v>267.01900000000001</v>
      </c>
      <c r="F47" s="228">
        <f>+VLOOKUP(DATE(YEAR(B47),MONTH(B47)-7,1),Indices!$B:$F,5,0)</f>
        <v>252.68199999999999</v>
      </c>
      <c r="G47" s="233">
        <f>+VLOOKUP(DATE(YEAR(B47),MONTH(B47)-2,1),Indices!$B:$F,3,0)</f>
        <v>142.22</v>
      </c>
      <c r="H47" s="234" t="s">
        <v>48</v>
      </c>
      <c r="I47" s="233">
        <f>(VLOOKUP(B47,Parámetros!$C:$Q,5,0)*E47/Indices!$P$7+VLOOKUP(B47,Parámetros!$C:$Q,6,0)*F47/Indices!$Q$7+VLOOKUP(B47,Parámetros!$C:$Q,7,0)*G47/Indices!$R$7*Indices!$O$7/D47)*Parámetros!F51</f>
        <v>647.72462118553187</v>
      </c>
      <c r="J47" s="233">
        <f>+(VLOOKUP($B47,Parámetros!$C:$L,9,0)*F47/Indices!$Q$7+VLOOKUP($B47,Parámetros!$C:$L,10,0)*Indices!$O$7/D47*G47/Indices!$R$7)*Parámetros!J51</f>
        <v>87.077694815458116</v>
      </c>
      <c r="K47" s="233">
        <f>+(VLOOKUP(B47,Parámetros!$C:$O,12,0)*F47/Indices!$Q$7+VLOOKUP(B47,Parámetros!$C:$O,13,0)*Indices!$O$7/D47*G47/Indices!$R$7)*Parámetros!M51</f>
        <v>13.554471443619342</v>
      </c>
      <c r="L47" s="233">
        <f>+Parámetros!P51*Indices!$O$7/D47*G47/Indices!$R$7</f>
        <v>1.23417565165887</v>
      </c>
      <c r="M47" s="290">
        <f>+ROUND(ROUND(((I47*VLOOKUP($B47,Parámetros!$C:$AL,33,0)+J47*VLOOKUP($B47,Parámetros!$C:$AL,34,0)+K47*VLOOKUP($B47,Parámetros!$C:$AL,35,0))*VLOOKUP($B47,Parámetros!$C:$AL,36,0)+L47)*(VLOOKUP($B47,Parámetros!$C:$AL,16,0))*(VLOOKUP($B47,Parámetros!$C:$AL,17,0)),Indices!$T$7)*D47,Indices!$U$7)</f>
        <v>8521.57</v>
      </c>
      <c r="N47" s="290">
        <f>+VLOOKUP($B47,Parámetros!$C:$AL,15,0)</f>
        <v>8568.64</v>
      </c>
      <c r="O47" s="291">
        <f t="shared" ref="O47" si="57">+M47/N47-1</f>
        <v>-5.4932871494192126E-3</v>
      </c>
      <c r="P47" s="292" t="s">
        <v>56</v>
      </c>
      <c r="Q47" s="290">
        <f>(VLOOKUP(B47,Parámetros!$C:$AL,20,0)*E47/Indices!$P$7+VLOOKUP(B47,Parámetros!$C:$AL,21,0)*F47/Indices!$Q$7+VLOOKUP(B47,Parámetros!$C:$AL,22,0)*G47/Indices!$R$7*Indices!$O$7/D47)*Parámetros!U51</f>
        <v>621.6769247501885</v>
      </c>
      <c r="R47" s="290">
        <f>+(VLOOKUP(B47,Parámetros!$C:$AL,24,0)*F47/Indices!$Q$7+VLOOKUP(B47,Parámetros!$C:$AL,25,0)*Indices!$O$7/D47*G47/Indices!$R$7)*Parámetros!Y51</f>
        <v>82.037988734833917</v>
      </c>
      <c r="S47" s="290">
        <f>+(VLOOKUP(B47,Parámetros!$C:$AL,27,0)*F47/Indices!$Q$7+VLOOKUP(B47,Parámetros!$C:$AL,28,0)*Indices!$O$7/D47*G47/Indices!$R$7)*Parámetros!AB51</f>
        <v>8.7476767705092868</v>
      </c>
      <c r="T47" s="290">
        <f>Parámetros!AE51*Indices!$O$7/D47*G47/Indices!$R$7</f>
        <v>1.0624836459177083</v>
      </c>
      <c r="U47" s="290">
        <f>+ROUND(ROUND(((Q47*VLOOKUP($B47,Parámetros!$C:$AL,33,0)+R47*VLOOKUP($B47,Parámetros!$C:$AL,34,0)+S47*VLOOKUP($B47,Parámetros!$C:$AL,35,0))*VLOOKUP($B47,Parámetros!$C:$AL,36,0)+T47)*(VLOOKUP($B47,Parámetros!$C:$AL,31,0))*(VLOOKUP($B47,Parámetros!$C:$AL,32,0)),Indices!$T$7)*D47,Indices!$U$7)</f>
        <v>7994.57</v>
      </c>
      <c r="V47" s="233">
        <f>+VLOOKUP($B47,Parámetros!$C:$AL,30,0)</f>
        <v>8044.56</v>
      </c>
      <c r="W47" s="235">
        <f t="shared" ref="W47" si="58">+U47/V47-1</f>
        <v>-6.2141372554870289E-3</v>
      </c>
    </row>
    <row r="48" spans="2:23" x14ac:dyDescent="0.2">
      <c r="B48" s="194">
        <v>45778</v>
      </c>
      <c r="C48" s="194" t="s">
        <v>141</v>
      </c>
      <c r="D48" s="227">
        <f>+VLOOKUP(DATE(YEAR(B48),MONTH(B48)-2,1),Indices!$B:$F,2,0)</f>
        <v>932.55</v>
      </c>
      <c r="E48" s="258">
        <f>+VLOOKUP(DATE(YEAR(B48),MONTH(B48)-7,1),Indices!$B:$F,4,0)</f>
        <v>267.84199999999998</v>
      </c>
      <c r="F48" s="258">
        <f>+VLOOKUP(DATE(YEAR(B48),MONTH(B48)-7,1),Indices!$B:$F,5,0)</f>
        <v>253.08099999999999</v>
      </c>
      <c r="G48" s="227">
        <f>+VLOOKUP(DATE(YEAR(B48),MONTH(B48)-2,1),Indices!$B:$F,3,0)</f>
        <v>142.94</v>
      </c>
      <c r="H48" s="232" t="s">
        <v>48</v>
      </c>
      <c r="I48" s="227">
        <f>(VLOOKUP(B48,Parámetros!$C:$Q,5,0)*E48/Indices!$P$7+VLOOKUP(B48,Parámetros!$C:$Q,6,0)*F48/Indices!$Q$7+VLOOKUP(B48,Parámetros!$C:$Q,7,0)*G48/Indices!$R$7*Indices!$O$7/D48)*Parámetros!F52</f>
        <v>653.29164714311889</v>
      </c>
      <c r="J48" s="227">
        <f>+(VLOOKUP($B48,Parámetros!$C:$L,9,0)*F48/Indices!$Q$7+VLOOKUP($B48,Parámetros!$C:$L,10,0)*Indices!$O$7/D48*G48/Indices!$R$7)*Parámetros!J52</f>
        <v>88.29073979441975</v>
      </c>
      <c r="K48" s="227">
        <f>+(VLOOKUP(B48,Parámetros!$C:$O,12,0)*F48/Indices!$Q$7+VLOOKUP(B48,Parámetros!$C:$O,13,0)*Indices!$O$7/D48*G48/Indices!$R$7)*Parámetros!M52</f>
        <v>13.907051854708559</v>
      </c>
      <c r="L48" s="227">
        <f>+Parámetros!P52*Indices!$O$7/D48*G48/Indices!$R$7</f>
        <v>1.2724402773690962</v>
      </c>
      <c r="M48" s="294">
        <f>+ROUND(ROUND(((I48*VLOOKUP($B48,Parámetros!$C:$AL,33,0)+J48*VLOOKUP($B48,Parámetros!$C:$AL,34,0)+K48*VLOOKUP($B48,Parámetros!$C:$AL,35,0))*VLOOKUP($B48,Parámetros!$C:$AL,36,0)+L48)*(VLOOKUP($B48,Parámetros!$C:$AL,16,0))*(VLOOKUP($B48,Parámetros!$C:$AL,17,0)),Indices!$T$7)*D48,Indices!$U$7)</f>
        <v>8413.2800000000007</v>
      </c>
      <c r="N48" s="294">
        <f>+VLOOKUP($B48,Parámetros!$C:$AL,15,0)</f>
        <v>8568.64</v>
      </c>
      <c r="O48" s="303">
        <f t="shared" ref="O48" si="59">+M48/N48-1</f>
        <v>-1.8131232027486122E-2</v>
      </c>
      <c r="P48" s="295" t="s">
        <v>56</v>
      </c>
      <c r="Q48" s="294">
        <f>(VLOOKUP(B48,Parámetros!$C:$AL,20,0)*E48/Indices!$P$7+VLOOKUP(B48,Parámetros!$C:$AL,21,0)*F48/Indices!$Q$7+VLOOKUP(B48,Parámetros!$C:$AL,22,0)*G48/Indices!$R$7*Indices!$O$7/D48)*Parámetros!U52</f>
        <v>626.95233835491092</v>
      </c>
      <c r="R48" s="294">
        <f>+(VLOOKUP(B48,Parámetros!$C:$AL,24,0)*F48/Indices!$Q$7+VLOOKUP(B48,Parámetros!$C:$AL,25,0)*Indices!$O$7/D48*G48/Indices!$R$7)*Parámetros!Y52</f>
        <v>82.961960752840682</v>
      </c>
      <c r="S48" s="294">
        <f>+(VLOOKUP(B48,Parámetros!$C:$AL,27,0)*F48/Indices!$Q$7+VLOOKUP(B48,Parámetros!$C:$AL,28,0)*Indices!$O$7/D48*G48/Indices!$R$7)*Parámetros!AB52</f>
        <v>8.9835357420361337</v>
      </c>
      <c r="T48" s="294">
        <f>Parámetros!AE52*Indices!$O$7/D48*G48/Indices!$R$7</f>
        <v>1.0954250987649037</v>
      </c>
      <c r="U48" s="294">
        <f>+ROUND(ROUND(((Q48*VLOOKUP($B48,Parámetros!$C:$AL,33,0)+R48*VLOOKUP($B48,Parámetros!$C:$AL,34,0)+S48*VLOOKUP($B48,Parámetros!$C:$AL,35,0))*VLOOKUP($B48,Parámetros!$C:$AL,36,0)+T48)*(VLOOKUP($B48,Parámetros!$C:$AL,31,0))*(VLOOKUP($B48,Parámetros!$C:$AL,32,0)),Indices!$T$7)*D48,Indices!$U$7)</f>
        <v>7887.6</v>
      </c>
      <c r="V48" s="227">
        <f>+VLOOKUP($B48,Parámetros!$C:$AL,30,0)</f>
        <v>8044.56</v>
      </c>
      <c r="W48" s="230">
        <f t="shared" ref="W48" si="60">+U48/V48-1</f>
        <v>-1.9511321936811932E-2</v>
      </c>
    </row>
    <row r="49" spans="2:23" x14ac:dyDescent="0.2">
      <c r="B49" s="38">
        <v>45809</v>
      </c>
      <c r="C49" s="38" t="s">
        <v>141</v>
      </c>
      <c r="D49" s="233">
        <f>+VLOOKUP(DATE(YEAR(B49),MONTH(B49)-2,1),Indices!$B:$F,2,0)</f>
        <v>961.96</v>
      </c>
      <c r="E49" s="228">
        <f>+VLOOKUP(DATE(YEAR(B49),MONTH(B49)-7,1),Indices!$B:$F,4,0)</f>
        <v>269.25700000000001</v>
      </c>
      <c r="F49" s="228">
        <f>+VLOOKUP(DATE(YEAR(B49),MONTH(B49)-7,1),Indices!$B:$F,5,0)</f>
        <v>253.21100000000001</v>
      </c>
      <c r="G49" s="233">
        <f>+VLOOKUP(DATE(YEAR(B49),MONTH(B49)-2,1),Indices!$B:$F,3,0)</f>
        <v>143.22</v>
      </c>
      <c r="H49" s="234" t="s">
        <v>48</v>
      </c>
      <c r="I49" s="233">
        <f>(VLOOKUP(B49,Parámetros!$C:$Q,5,0)*E49/Indices!$P$7+VLOOKUP(B49,Parámetros!$C:$Q,6,0)*F49/Indices!$Q$7+VLOOKUP(B49,Parámetros!$C:$Q,7,0)*G49/Indices!$R$7*Indices!$O$7/D49)*Parámetros!F53</f>
        <v>651.99369357026103</v>
      </c>
      <c r="J49" s="233">
        <f>+(VLOOKUP($B49,Parámetros!$C:$L,9,0)*F49/Indices!$Q$7+VLOOKUP($B49,Parámetros!$C:$L,10,0)*Indices!$O$7/D49*G49/Indices!$R$7)*Parámetros!J53</f>
        <v>87.23614980826386</v>
      </c>
      <c r="K49" s="233">
        <f>+(VLOOKUP(B49,Parámetros!$C:$O,12,0)*F49/Indices!$Q$7+VLOOKUP(B49,Parámetros!$C:$O,13,0)*Indices!$O$7/D49*G49/Indices!$R$7)*Parámetros!M53</f>
        <v>13.575505812916075</v>
      </c>
      <c r="L49" s="233">
        <f>+Parámetros!P53*Indices!$O$7/D49*G49/Indices!$R$7</f>
        <v>1.2359542977811737</v>
      </c>
      <c r="M49" s="290">
        <f>+ROUND(ROUND(((I49*VLOOKUP($B49,Parámetros!$C:$AL,33,0)+J49*VLOOKUP($B49,Parámetros!$C:$AL,34,0)+K49*VLOOKUP($B49,Parámetros!$C:$AL,35,0))*VLOOKUP($B49,Parámetros!$C:$AL,36,0)+L49)*(VLOOKUP($B49,Parámetros!$C:$AL,16,0))*(VLOOKUP($B49,Parámetros!$C:$AL,17,0)),Indices!$T$7)*D49,Indices!$U$7)</f>
        <v>8614.5400000000009</v>
      </c>
      <c r="N49" s="290">
        <f>+VLOOKUP($B49,Parámetros!$C:$AL,15,0)</f>
        <v>8568.64</v>
      </c>
      <c r="O49" s="291">
        <f t="shared" ref="O49" si="61">+M49/N49-1</f>
        <v>5.3567427269674006E-3</v>
      </c>
      <c r="P49" s="292" t="s">
        <v>56</v>
      </c>
      <c r="Q49" s="290">
        <f>(VLOOKUP(B49,Parámetros!$C:$AL,20,0)*E49/Indices!$P$7+VLOOKUP(B49,Parámetros!$C:$AL,21,0)*F49/Indices!$Q$7+VLOOKUP(B49,Parámetros!$C:$AL,22,0)*G49/Indices!$R$7*Indices!$O$7/D49)*Parámetros!U53</f>
        <v>625.78991774299504</v>
      </c>
      <c r="R49" s="290">
        <f>+(VLOOKUP(B49,Parámetros!$C:$AL,24,0)*F49/Indices!$Q$7+VLOOKUP(B49,Parámetros!$C:$AL,25,0)*Indices!$O$7/D49*G49/Indices!$R$7)*Parámetros!Y53</f>
        <v>82.192125446381212</v>
      </c>
      <c r="S49" s="290">
        <f>+(VLOOKUP(B49,Parámetros!$C:$AL,27,0)*F49/Indices!$Q$7+VLOOKUP(B49,Parámetros!$C:$AL,28,0)*Indices!$O$7/D49*G49/Indices!$R$7)*Parámetros!AB53</f>
        <v>8.7610674485241056</v>
      </c>
      <c r="T49" s="290">
        <f>Parámetros!AE53*Indices!$O$7/D49*G49/Indices!$R$7</f>
        <v>1.0640148561747593</v>
      </c>
      <c r="U49" s="290">
        <f>+ROUND(ROUND(((Q49*VLOOKUP($B49,Parámetros!$C:$AL,33,0)+R49*VLOOKUP($B49,Parámetros!$C:$AL,34,0)+S49*VLOOKUP($B49,Parámetros!$C:$AL,35,0))*VLOOKUP($B49,Parámetros!$C:$AL,36,0)+T49)*(VLOOKUP($B49,Parámetros!$C:$AL,31,0))*(VLOOKUP($B49,Parámetros!$C:$AL,32,0)),Indices!$T$7)*D49,Indices!$U$7)</f>
        <v>8082.68</v>
      </c>
      <c r="V49" s="233">
        <f>+VLOOKUP($B49,Parámetros!$C:$AL,30,0)</f>
        <v>8044.56</v>
      </c>
      <c r="W49" s="235">
        <f t="shared" ref="W49" si="62">+U49/V49-1</f>
        <v>4.7386059647762657E-3</v>
      </c>
    </row>
    <row r="50" spans="2:23" ht="13.5" thickBot="1" x14ac:dyDescent="0.25">
      <c r="B50" s="237">
        <v>45839</v>
      </c>
      <c r="C50" s="237" t="s">
        <v>141</v>
      </c>
      <c r="D50" s="318">
        <f>+VLOOKUP(DATE(YEAR(B50),MONTH(B50)-2,1),Indices!$B:$F,2,0)</f>
        <v>941.01</v>
      </c>
      <c r="E50" s="319">
        <f>+VLOOKUP(DATE(YEAR(B50),MONTH(B50)-7,1),Indices!$B:$F,4,0)</f>
        <v>270.68599999999998</v>
      </c>
      <c r="F50" s="319">
        <f>+VLOOKUP(DATE(YEAR(B50),MONTH(B50)-7,1),Indices!$B:$F,5,0)</f>
        <v>253.423</v>
      </c>
      <c r="G50" s="318">
        <f>+VLOOKUP(DATE(YEAR(B50),MONTH(B50)-2,1),Indices!$B:$F,3,0)</f>
        <v>143.5</v>
      </c>
      <c r="H50" s="328" t="s">
        <v>48</v>
      </c>
      <c r="I50" s="318">
        <f>(VLOOKUP(B50,Parámetros!$C:$Q,5,0)*E50/Indices!$P$7+VLOOKUP(B50,Parámetros!$C:$Q,6,0)*F50/Indices!$Q$7+VLOOKUP(B50,Parámetros!$C:$Q,7,0)*G50/Indices!$R$7*Indices!$O$7/D50)*Parámetros!F54</f>
        <v>657.74002404488522</v>
      </c>
      <c r="J50" s="318">
        <f>+(VLOOKUP($B50,Parámetros!$C:$L,9,0)*F50/Indices!$Q$7+VLOOKUP($B50,Parámetros!$C:$L,10,0)*Indices!$O$7/D50*G50/Indices!$R$7)*Parámetros!J54</f>
        <v>88.166636016976241</v>
      </c>
      <c r="K50" s="318">
        <f>+(VLOOKUP(B50,Parámetros!$C:$O,12,0)*F50/Indices!$Q$7+VLOOKUP(B50,Parámetros!$C:$O,13,0)*Indices!$O$7/D50*G50/Indices!$R$7)*Parámetros!M54</f>
        <v>13.850893717282863</v>
      </c>
      <c r="L50" s="318">
        <f>+Parámetros!P54*Indices!$O$7/D50*G50/Indices!$R$7</f>
        <v>1.2659408634622433</v>
      </c>
      <c r="M50" s="329">
        <f>+ROUND(ROUND(((I50*VLOOKUP($B50,Parámetros!$C:$AL,33,0)+J50*VLOOKUP($B50,Parámetros!$C:$AL,34,0)+K50*VLOOKUP($B50,Parámetros!$C:$AL,35,0))*VLOOKUP($B50,Parámetros!$C:$AL,36,0)+L50)*(VLOOKUP($B50,Parámetros!$C:$AL,16,0))*(VLOOKUP($B50,Parámetros!$C:$AL,17,0)),Indices!$T$7)*D50,Indices!$U$7)</f>
        <v>8523.86</v>
      </c>
      <c r="N50" s="329">
        <f>+VLOOKUP($B50,Parámetros!$C:$AL,15,0)</f>
        <v>8568.64</v>
      </c>
      <c r="O50" s="330">
        <f t="shared" ref="O50" si="63">+M50/N50-1</f>
        <v>-5.2260335362436239E-3</v>
      </c>
      <c r="P50" s="331" t="s">
        <v>56</v>
      </c>
      <c r="Q50" s="329">
        <f>(VLOOKUP(B50,Parámetros!$C:$AL,20,0)*E50/Indices!$P$7+VLOOKUP(B50,Parámetros!$C:$AL,21,0)*F50/Indices!$Q$7+VLOOKUP(B50,Parámetros!$C:$AL,22,0)*G50/Indices!$R$7*Indices!$O$7/D50)*Parámetros!U54</f>
        <v>631.25855338384736</v>
      </c>
      <c r="R50" s="329">
        <f>+(VLOOKUP(B50,Parámetros!$C:$AL,24,0)*F50/Indices!$Q$7+VLOOKUP(B50,Parámetros!$C:$AL,25,0)*Indices!$O$7/D50*G50/Indices!$R$7)*Parámetros!Y54</f>
        <v>82.894277361294797</v>
      </c>
      <c r="S50" s="329">
        <f>+(VLOOKUP(B50,Parámetros!$C:$AL,27,0)*F50/Indices!$Q$7+VLOOKUP(B50,Parámetros!$C:$AL,28,0)*Indices!$O$7/D50*G50/Indices!$R$7)*Parámetros!AB54</f>
        <v>8.9454226040611324</v>
      </c>
      <c r="T50" s="329">
        <f>Parámetros!AE54*Indices!$O$7/D50*G50/Indices!$R$7</f>
        <v>1.0898298490329881</v>
      </c>
      <c r="U50" s="329">
        <f>+ROUND(ROUND(((Q50*VLOOKUP($B50,Parámetros!$C:$AL,33,0)+R50*VLOOKUP($B50,Parámetros!$C:$AL,34,0)+S50*VLOOKUP($B50,Parámetros!$C:$AL,35,0))*VLOOKUP($B50,Parámetros!$C:$AL,36,0)+T50)*(VLOOKUP($B50,Parámetros!$C:$AL,31,0))*(VLOOKUP($B50,Parámetros!$C:$AL,32,0)),Indices!$T$7)*D50,Indices!$U$7)</f>
        <v>7993.69</v>
      </c>
      <c r="V50" s="318">
        <f>+VLOOKUP($B50,Parámetros!$C:$AL,30,0)</f>
        <v>8044.56</v>
      </c>
      <c r="W50" s="332">
        <f>+U50/V50-1</f>
        <v>-6.3235279493223384E-3</v>
      </c>
    </row>
  </sheetData>
  <mergeCells count="17"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  <mergeCell ref="P3:P4"/>
    <mergeCell ref="P2:W2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/>
  </sheetViews>
  <sheetFormatPr baseColWidth="10" defaultColWidth="11.42578125" defaultRowHeight="12.75" x14ac:dyDescent="0.2"/>
  <cols>
    <col min="1" max="16384" width="11.42578125" style="210"/>
  </cols>
  <sheetData>
    <row r="2" spans="2:2" x14ac:dyDescent="0.2">
      <c r="B2" s="217" t="s">
        <v>106</v>
      </c>
    </row>
    <row r="12" spans="2:2" x14ac:dyDescent="0.2">
      <c r="B12" s="217" t="s">
        <v>105</v>
      </c>
    </row>
    <row r="19" spans="2:2" x14ac:dyDescent="0.2">
      <c r="B19" s="217" t="s">
        <v>104</v>
      </c>
    </row>
    <row r="27" spans="2:2" x14ac:dyDescent="0.2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57"/>
  <sheetViews>
    <sheetView showGridLines="0" topLeftCell="I1" zoomScaleNormal="100" workbookViewId="0">
      <pane ySplit="4" topLeftCell="A145" activePane="bottomLeft" state="frozen"/>
      <selection pane="bottomLeft" activeCell="I1" sqref="I1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4" t="s">
        <v>65</v>
      </c>
    </row>
    <row r="2" spans="2:23" ht="13.5" thickBot="1" x14ac:dyDescent="0.25">
      <c r="W2" s="245" t="s">
        <v>66</v>
      </c>
    </row>
    <row r="3" spans="2:23" ht="13.5" thickBot="1" x14ac:dyDescent="0.25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5" thickBot="1" x14ac:dyDescent="0.25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5" thickBot="1" x14ac:dyDescent="0.25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5" thickBot="1" x14ac:dyDescent="0.25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5" thickBot="1" x14ac:dyDescent="0.25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5" thickBot="1" x14ac:dyDescent="0.25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5" thickBot="1" x14ac:dyDescent="0.25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5" thickBot="1" x14ac:dyDescent="0.25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5" thickBot="1" x14ac:dyDescent="0.25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5" thickBot="1" x14ac:dyDescent="0.25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5" thickBot="1" x14ac:dyDescent="0.25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5" thickBot="1" x14ac:dyDescent="0.25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5" thickBot="1" x14ac:dyDescent="0.25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5" thickBot="1" x14ac:dyDescent="0.25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5" thickBot="1" x14ac:dyDescent="0.25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5" thickBot="1" x14ac:dyDescent="0.25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5" thickBot="1" x14ac:dyDescent="0.25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5" thickBot="1" x14ac:dyDescent="0.25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5" thickBot="1" x14ac:dyDescent="0.25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5" thickBot="1" x14ac:dyDescent="0.25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5" thickBot="1" x14ac:dyDescent="0.25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5" thickBot="1" x14ac:dyDescent="0.25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5" thickBot="1" x14ac:dyDescent="0.25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5" thickBot="1" x14ac:dyDescent="0.25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ht="13.5" thickBot="1" x14ac:dyDescent="0.25">
      <c r="J129" s="237">
        <v>44986</v>
      </c>
      <c r="K129" s="237" t="s">
        <v>129</v>
      </c>
      <c r="L129" s="237" t="s">
        <v>48</v>
      </c>
      <c r="M129" s="238">
        <v>220</v>
      </c>
      <c r="N129" s="239">
        <f>+Indexacion!N22</f>
        <v>7940</v>
      </c>
      <c r="O129" s="239">
        <f>+Indexacion!M22</f>
        <v>7260.14</v>
      </c>
      <c r="P129" s="240">
        <f t="shared" ref="P129:P130" si="22">+O129/N129-1</f>
        <v>-8.5624685138539047E-2</v>
      </c>
      <c r="Q129" s="241" t="s">
        <v>56</v>
      </c>
      <c r="R129" s="238">
        <v>220</v>
      </c>
      <c r="S129" s="242">
        <f>+Indexacion!V22</f>
        <v>7465.69</v>
      </c>
      <c r="T129" s="239">
        <f>+Indexacion!U22</f>
        <v>6797.72</v>
      </c>
      <c r="U129" s="243">
        <f t="shared" ref="U129:U130" si="23">+T129/S129-1</f>
        <v>-8.9471971110506754E-2</v>
      </c>
    </row>
    <row r="130" spans="10:21" x14ac:dyDescent="0.2">
      <c r="J130" s="120">
        <v>45017</v>
      </c>
      <c r="K130" s="120" t="s">
        <v>131</v>
      </c>
      <c r="L130" s="120" t="s">
        <v>48</v>
      </c>
      <c r="M130" s="121">
        <v>220</v>
      </c>
      <c r="N130" s="142">
        <f>+Indexacion!N23</f>
        <v>7790.34</v>
      </c>
      <c r="O130" s="142">
        <f>+Indexacion!M23</f>
        <v>7074.26</v>
      </c>
      <c r="P130" s="150">
        <f t="shared" si="22"/>
        <v>-9.1918966309557759E-2</v>
      </c>
      <c r="Q130" s="124" t="s">
        <v>56</v>
      </c>
      <c r="R130" s="121">
        <v>220</v>
      </c>
      <c r="S130" s="143">
        <f>+Indexacion!V23</f>
        <v>7318.15</v>
      </c>
      <c r="T130" s="142">
        <f>+Indexacion!U23</f>
        <v>6616.86</v>
      </c>
      <c r="U130" s="145">
        <f t="shared" si="23"/>
        <v>-9.5828863852203128E-2</v>
      </c>
    </row>
    <row r="131" spans="10:21" x14ac:dyDescent="0.2">
      <c r="J131" s="194">
        <v>45047</v>
      </c>
      <c r="K131" s="194" t="s">
        <v>131</v>
      </c>
      <c r="L131" s="194" t="s">
        <v>48</v>
      </c>
      <c r="M131" s="197">
        <v>220</v>
      </c>
      <c r="N131" s="195">
        <f>+Indexacion!N24</f>
        <v>7790.34</v>
      </c>
      <c r="O131" s="195">
        <f>+Indexacion!M24</f>
        <v>7163.51</v>
      </c>
      <c r="P131" s="198">
        <f t="shared" ref="P131:P132" si="24">+O131/N131-1</f>
        <v>-8.0462470187437241E-2</v>
      </c>
      <c r="Q131" s="199" t="s">
        <v>56</v>
      </c>
      <c r="R131" s="197">
        <v>220</v>
      </c>
      <c r="S131" s="200">
        <f>+Indexacion!V24</f>
        <v>7318.15</v>
      </c>
      <c r="T131" s="195">
        <f>+Indexacion!U24</f>
        <v>6700.39</v>
      </c>
      <c r="U131" s="201">
        <f t="shared" ref="U131:U132" si="25">+T131/S131-1</f>
        <v>-8.4414776958657511E-2</v>
      </c>
    </row>
    <row r="132" spans="10:21" x14ac:dyDescent="0.2">
      <c r="J132" s="38">
        <v>45078</v>
      </c>
      <c r="K132" s="38" t="s">
        <v>131</v>
      </c>
      <c r="L132" s="38" t="s">
        <v>48</v>
      </c>
      <c r="M132" s="77">
        <v>220</v>
      </c>
      <c r="N132" s="35">
        <f>+Indexacion!N25</f>
        <v>7790.34</v>
      </c>
      <c r="O132" s="35">
        <f>+Indexacion!M25</f>
        <v>7142.68</v>
      </c>
      <c r="P132" s="42">
        <f t="shared" si="24"/>
        <v>-8.3136294436443103E-2</v>
      </c>
      <c r="Q132" s="37" t="s">
        <v>56</v>
      </c>
      <c r="R132" s="77">
        <v>220</v>
      </c>
      <c r="S132" s="36">
        <f>+Indexacion!V25</f>
        <v>7318.15</v>
      </c>
      <c r="T132" s="35">
        <f>+Indexacion!U25</f>
        <v>6678.95</v>
      </c>
      <c r="U132" s="84">
        <f t="shared" si="25"/>
        <v>-8.7344479137486886E-2</v>
      </c>
    </row>
    <row r="133" spans="10:21" x14ac:dyDescent="0.2">
      <c r="J133" s="194">
        <v>45108</v>
      </c>
      <c r="K133" s="194" t="s">
        <v>131</v>
      </c>
      <c r="L133" s="194" t="s">
        <v>48</v>
      </c>
      <c r="M133" s="197">
        <v>220</v>
      </c>
      <c r="N133" s="195">
        <f>+Indexacion!N26</f>
        <v>7790.34</v>
      </c>
      <c r="O133" s="195">
        <f>+Indexacion!M26</f>
        <v>7110.53</v>
      </c>
      <c r="P133" s="198">
        <f t="shared" ref="P133:P134" si="26">+O133/N133-1</f>
        <v>-8.7263200322450718E-2</v>
      </c>
      <c r="Q133" s="199" t="s">
        <v>56</v>
      </c>
      <c r="R133" s="197">
        <v>220</v>
      </c>
      <c r="S133" s="200">
        <f>+Indexacion!V26</f>
        <v>7318.15</v>
      </c>
      <c r="T133" s="195">
        <f>+Indexacion!U26</f>
        <v>6646.6</v>
      </c>
      <c r="U133" s="201">
        <f t="shared" ref="U133:U134" si="27">+T133/S133-1</f>
        <v>-9.1764995251532033E-2</v>
      </c>
    </row>
    <row r="134" spans="10:21" x14ac:dyDescent="0.2">
      <c r="J134" s="38">
        <v>45139</v>
      </c>
      <c r="K134" s="38" t="s">
        <v>132</v>
      </c>
      <c r="L134" s="38" t="s">
        <v>48</v>
      </c>
      <c r="M134" s="77">
        <v>220</v>
      </c>
      <c r="N134" s="35">
        <f>+Indexacion!N27</f>
        <v>7127.88</v>
      </c>
      <c r="O134" s="35">
        <f>+Indexacion!M27</f>
        <v>7127.88</v>
      </c>
      <c r="P134" s="42">
        <f t="shared" si="26"/>
        <v>0</v>
      </c>
      <c r="Q134" s="37" t="s">
        <v>56</v>
      </c>
      <c r="R134" s="77">
        <v>220</v>
      </c>
      <c r="S134" s="36">
        <f>+Indexacion!V27</f>
        <v>6664.12</v>
      </c>
      <c r="T134" s="35">
        <f>+Indexacion!U27</f>
        <v>6664.12</v>
      </c>
      <c r="U134" s="84">
        <f t="shared" si="27"/>
        <v>0</v>
      </c>
    </row>
    <row r="135" spans="10:21" ht="13.5" thickBot="1" x14ac:dyDescent="0.25">
      <c r="J135" s="237">
        <v>45170</v>
      </c>
      <c r="K135" s="237" t="s">
        <v>132</v>
      </c>
      <c r="L135" s="237" t="s">
        <v>48</v>
      </c>
      <c r="M135" s="238">
        <v>220</v>
      </c>
      <c r="N135" s="239">
        <f>+Indexacion!N28</f>
        <v>7127.88</v>
      </c>
      <c r="O135" s="239">
        <f>+Indexacion!M28</f>
        <v>7217.79</v>
      </c>
      <c r="P135" s="240">
        <f t="shared" ref="P135:P136" si="28">+O135/N135-1</f>
        <v>1.2613848717991871E-2</v>
      </c>
      <c r="Q135" s="241" t="s">
        <v>56</v>
      </c>
      <c r="R135" s="238">
        <v>220</v>
      </c>
      <c r="S135" s="242">
        <f>+Indexacion!V28</f>
        <v>6664.12</v>
      </c>
      <c r="T135" s="239">
        <f>+Indexacion!U28</f>
        <v>6750.33</v>
      </c>
      <c r="U135" s="243">
        <f t="shared" ref="U135:U136" si="29">+T135/S135-1</f>
        <v>1.2936441720737379E-2</v>
      </c>
    </row>
    <row r="136" spans="10:21" x14ac:dyDescent="0.2">
      <c r="J136" s="120">
        <v>45200</v>
      </c>
      <c r="K136" s="120" t="s">
        <v>135</v>
      </c>
      <c r="L136" s="120" t="s">
        <v>48</v>
      </c>
      <c r="M136" s="121">
        <v>220</v>
      </c>
      <c r="N136" s="142">
        <f>+Indexacion!N29</f>
        <v>7110.69</v>
      </c>
      <c r="O136" s="142">
        <f>+Indexacion!M29</f>
        <v>7571.74</v>
      </c>
      <c r="P136" s="150">
        <f t="shared" si="28"/>
        <v>6.4838995934290544E-2</v>
      </c>
      <c r="Q136" s="124" t="s">
        <v>56</v>
      </c>
      <c r="R136" s="121">
        <v>220</v>
      </c>
      <c r="S136" s="143">
        <f>+Indexacion!V29</f>
        <v>6646.68</v>
      </c>
      <c r="T136" s="142">
        <f>+Indexacion!U29</f>
        <v>7093.25</v>
      </c>
      <c r="U136" s="145">
        <f t="shared" si="29"/>
        <v>6.7186926405363279E-2</v>
      </c>
    </row>
    <row r="137" spans="10:21" x14ac:dyDescent="0.2">
      <c r="J137" s="194">
        <v>45231</v>
      </c>
      <c r="K137" s="194" t="s">
        <v>135</v>
      </c>
      <c r="L137" s="194" t="s">
        <v>48</v>
      </c>
      <c r="M137" s="197">
        <v>220</v>
      </c>
      <c r="N137" s="195">
        <f>+Indexacion!N30</f>
        <v>7110.69</v>
      </c>
      <c r="O137" s="195">
        <f>+Indexacion!M30</f>
        <v>7757.96</v>
      </c>
      <c r="P137" s="198">
        <f t="shared" ref="P137" si="30">+O137/N137-1</f>
        <v>9.1027734298640528E-2</v>
      </c>
      <c r="Q137" s="199" t="s">
        <v>56</v>
      </c>
      <c r="R137" s="197">
        <v>220</v>
      </c>
      <c r="S137" s="200">
        <f>+Indexacion!V30</f>
        <v>6646.68</v>
      </c>
      <c r="T137" s="195">
        <f>+Indexacion!U30</f>
        <v>7272.51</v>
      </c>
      <c r="U137" s="201">
        <f t="shared" ref="U137" si="31">+T137/S137-1</f>
        <v>9.4156782032533526E-2</v>
      </c>
    </row>
    <row r="138" spans="10:21" x14ac:dyDescent="0.2">
      <c r="J138" s="38">
        <v>45261</v>
      </c>
      <c r="K138" s="38" t="s">
        <v>135</v>
      </c>
      <c r="L138" s="38" t="s">
        <v>48</v>
      </c>
      <c r="M138" s="77">
        <v>220</v>
      </c>
      <c r="N138" s="35">
        <f>+Indexacion!N31</f>
        <v>7110.69</v>
      </c>
      <c r="O138" s="35">
        <f>+Indexacion!M31</f>
        <v>8001.07</v>
      </c>
      <c r="P138" s="42">
        <f t="shared" ref="P138" si="32">+O138/N138-1</f>
        <v>0.12521710270030062</v>
      </c>
      <c r="Q138" s="37" t="s">
        <v>56</v>
      </c>
      <c r="R138" s="77">
        <v>220</v>
      </c>
      <c r="S138" s="36">
        <f>+Indexacion!V31</f>
        <v>6646.68</v>
      </c>
      <c r="T138" s="35">
        <f>+Indexacion!U31</f>
        <v>7507.33</v>
      </c>
      <c r="U138" s="84">
        <f t="shared" ref="U138" si="33">+T138/S138-1</f>
        <v>0.12948569812297261</v>
      </c>
    </row>
    <row r="139" spans="10:21" x14ac:dyDescent="0.2">
      <c r="J139" s="194">
        <v>45292</v>
      </c>
      <c r="K139" s="194" t="s">
        <v>135</v>
      </c>
      <c r="L139" s="194" t="s">
        <v>48</v>
      </c>
      <c r="M139" s="197">
        <v>220</v>
      </c>
      <c r="N139" s="195">
        <f>+Indexacion!N32</f>
        <v>7110.69</v>
      </c>
      <c r="O139" s="195">
        <f>+Indexacion!M32</f>
        <v>7793.3</v>
      </c>
      <c r="P139" s="198">
        <f t="shared" ref="P139" si="34">+O139/N139-1</f>
        <v>9.5997716114751164E-2</v>
      </c>
      <c r="Q139" s="199" t="s">
        <v>56</v>
      </c>
      <c r="R139" s="197">
        <v>220</v>
      </c>
      <c r="S139" s="200">
        <f>+Indexacion!V32</f>
        <v>6646.68</v>
      </c>
      <c r="T139" s="195">
        <f>+Indexacion!U32</f>
        <v>7303.18</v>
      </c>
      <c r="U139" s="201">
        <f t="shared" ref="U139" si="35">+T139/S139-1</f>
        <v>9.8771115805183829E-2</v>
      </c>
    </row>
    <row r="140" spans="10:21" x14ac:dyDescent="0.2">
      <c r="J140" s="38">
        <v>45323</v>
      </c>
      <c r="K140" s="38" t="s">
        <v>135</v>
      </c>
      <c r="L140" s="38" t="s">
        <v>48</v>
      </c>
      <c r="M140" s="77">
        <v>220</v>
      </c>
      <c r="N140" s="35">
        <f>+Indexacion!N33</f>
        <v>7110.69</v>
      </c>
      <c r="O140" s="35">
        <f>+Indexacion!M33</f>
        <v>7668.14</v>
      </c>
      <c r="P140" s="42">
        <f t="shared" ref="P140" si="36">+O140/N140-1</f>
        <v>7.8396048766012916E-2</v>
      </c>
      <c r="Q140" s="37" t="s">
        <v>56</v>
      </c>
      <c r="R140" s="77">
        <v>220</v>
      </c>
      <c r="S140" s="36">
        <f>+Indexacion!V33</f>
        <v>6646.68</v>
      </c>
      <c r="T140" s="35">
        <f>+Indexacion!U33</f>
        <v>7183.23</v>
      </c>
      <c r="U140" s="84">
        <f t="shared" ref="U140" si="37">+T140/S140-1</f>
        <v>8.0724512087237521E-2</v>
      </c>
    </row>
    <row r="141" spans="10:21" ht="13.5" thickBot="1" x14ac:dyDescent="0.25">
      <c r="J141" s="237">
        <v>45352</v>
      </c>
      <c r="K141" s="237" t="s">
        <v>137</v>
      </c>
      <c r="L141" s="237" t="s">
        <v>48</v>
      </c>
      <c r="M141" s="238">
        <v>220</v>
      </c>
      <c r="N141" s="239">
        <f>+Indexacion!N34</f>
        <v>7962.71</v>
      </c>
      <c r="O141" s="239">
        <f>+Indexacion!M34</f>
        <v>7962.71</v>
      </c>
      <c r="P141" s="240">
        <f t="shared" ref="P141" si="38">+O141/N141-1</f>
        <v>0</v>
      </c>
      <c r="Q141" s="241" t="s">
        <v>56</v>
      </c>
      <c r="R141" s="238">
        <v>220</v>
      </c>
      <c r="S141" s="242">
        <f>+Indexacion!V34</f>
        <v>7467.85</v>
      </c>
      <c r="T141" s="239">
        <f>+Indexacion!U34</f>
        <v>7467.85</v>
      </c>
      <c r="U141" s="243">
        <f t="shared" ref="U141" si="39">+T141/S141-1</f>
        <v>0</v>
      </c>
    </row>
    <row r="142" spans="10:21" x14ac:dyDescent="0.2">
      <c r="J142" s="120">
        <v>45383</v>
      </c>
      <c r="K142" s="120" t="s">
        <v>138</v>
      </c>
      <c r="L142" s="120" t="s">
        <v>48</v>
      </c>
      <c r="M142" s="121">
        <v>220</v>
      </c>
      <c r="N142" s="142">
        <f>+Indexacion!N35</f>
        <v>7793.57</v>
      </c>
      <c r="O142" s="142">
        <f>+Indexacion!M35</f>
        <v>8312.27</v>
      </c>
      <c r="P142" s="150">
        <f t="shared" ref="P142" si="40">+O142/N142-1</f>
        <v>6.6554865100332705E-2</v>
      </c>
      <c r="Q142" s="124" t="s">
        <v>56</v>
      </c>
      <c r="R142" s="121">
        <v>220</v>
      </c>
      <c r="S142" s="143">
        <f>+Indexacion!V35</f>
        <v>7303.36</v>
      </c>
      <c r="T142" s="142">
        <f>+Indexacion!U35</f>
        <v>7806.47</v>
      </c>
      <c r="U142" s="145">
        <f t="shared" ref="U142" si="41">+T142/S142-1</f>
        <v>6.8887470972264886E-2</v>
      </c>
    </row>
    <row r="143" spans="10:21" x14ac:dyDescent="0.2">
      <c r="J143" s="194">
        <v>45413</v>
      </c>
      <c r="K143" s="194" t="s">
        <v>138</v>
      </c>
      <c r="L143" s="194" t="s">
        <v>48</v>
      </c>
      <c r="M143" s="197">
        <v>220</v>
      </c>
      <c r="N143" s="195">
        <f>+Indexacion!N36</f>
        <v>7793.57</v>
      </c>
      <c r="O143" s="195">
        <f>+Indexacion!M36</f>
        <v>8353.14</v>
      </c>
      <c r="P143" s="198">
        <f t="shared" ref="P143" si="42">+O143/N143-1</f>
        <v>7.1798931683426215E-2</v>
      </c>
      <c r="Q143" s="199" t="s">
        <v>56</v>
      </c>
      <c r="R143" s="197">
        <v>220</v>
      </c>
      <c r="S143" s="200">
        <f>+Indexacion!V36</f>
        <v>7303.36</v>
      </c>
      <c r="T143" s="195">
        <f>+Indexacion!U36</f>
        <v>7844.4</v>
      </c>
      <c r="U143" s="201">
        <f t="shared" ref="U143" si="43">+T143/S143-1</f>
        <v>7.408097095035715E-2</v>
      </c>
    </row>
    <row r="144" spans="10:21" x14ac:dyDescent="0.2">
      <c r="J144" s="38">
        <v>45444</v>
      </c>
      <c r="K144" s="38" t="s">
        <v>138</v>
      </c>
      <c r="L144" s="38" t="s">
        <v>48</v>
      </c>
      <c r="M144" s="77">
        <v>220</v>
      </c>
      <c r="N144" s="35">
        <f>+Indexacion!N37</f>
        <v>7793.57</v>
      </c>
      <c r="O144" s="35">
        <f>+Indexacion!M37</f>
        <v>8333.5400000000009</v>
      </c>
      <c r="P144" s="42">
        <f t="shared" ref="P144" si="44">+O144/N144-1</f>
        <v>6.9284037995424486E-2</v>
      </c>
      <c r="Q144" s="37" t="s">
        <v>56</v>
      </c>
      <c r="R144" s="77">
        <v>220</v>
      </c>
      <c r="S144" s="36">
        <f>+Indexacion!V37</f>
        <v>7303.36</v>
      </c>
      <c r="T144" s="35">
        <f>+Indexacion!U37</f>
        <v>7823.32</v>
      </c>
      <c r="U144" s="84">
        <f t="shared" ref="U144" si="45">+T144/S144-1</f>
        <v>7.1194628225912382E-2</v>
      </c>
    </row>
    <row r="145" spans="10:21" x14ac:dyDescent="0.2">
      <c r="J145" s="194">
        <v>45474</v>
      </c>
      <c r="K145" s="194" t="s">
        <v>138</v>
      </c>
      <c r="L145" s="194" t="s">
        <v>48</v>
      </c>
      <c r="M145" s="197">
        <v>220</v>
      </c>
      <c r="N145" s="195">
        <f>+Indexacion!N38</f>
        <v>7793.57</v>
      </c>
      <c r="O145" s="195">
        <f>+Indexacion!M38</f>
        <v>8095.79</v>
      </c>
      <c r="P145" s="198">
        <f t="shared" ref="P145" si="46">+O145/N145-1</f>
        <v>3.8778120938158134E-2</v>
      </c>
      <c r="Q145" s="199" t="s">
        <v>56</v>
      </c>
      <c r="R145" s="197">
        <v>220</v>
      </c>
      <c r="S145" s="200">
        <f>+Indexacion!V38</f>
        <v>7303.36</v>
      </c>
      <c r="T145" s="195">
        <f>+Indexacion!U38</f>
        <v>7590.78</v>
      </c>
      <c r="U145" s="201">
        <f t="shared" ref="U145" si="47">+T145/S145-1</f>
        <v>3.9354488892783701E-2</v>
      </c>
    </row>
    <row r="146" spans="10:21" x14ac:dyDescent="0.2">
      <c r="J146" s="38">
        <v>45505</v>
      </c>
      <c r="K146" s="38" t="s">
        <v>138</v>
      </c>
      <c r="L146" s="38" t="s">
        <v>48</v>
      </c>
      <c r="M146" s="77">
        <v>220</v>
      </c>
      <c r="N146" s="35">
        <f>+Indexacion!N39</f>
        <v>7793.57</v>
      </c>
      <c r="O146" s="35">
        <f>+Indexacion!M39</f>
        <v>8159.51</v>
      </c>
      <c r="P146" s="42">
        <f t="shared" ref="P146" si="48">+O146/N146-1</f>
        <v>4.695409164221287E-2</v>
      </c>
      <c r="Q146" s="37" t="s">
        <v>56</v>
      </c>
      <c r="R146" s="77">
        <v>220</v>
      </c>
      <c r="S146" s="36">
        <f>+Indexacion!V39</f>
        <v>7303.36</v>
      </c>
      <c r="T146" s="35">
        <f>+Indexacion!U39</f>
        <v>7653.13</v>
      </c>
      <c r="U146" s="84">
        <f t="shared" ref="U146" si="49">+T146/S146-1</f>
        <v>4.7891655347675588E-2</v>
      </c>
    </row>
    <row r="147" spans="10:21" ht="13.5" thickBot="1" x14ac:dyDescent="0.25">
      <c r="J147" s="237">
        <v>45536</v>
      </c>
      <c r="K147" s="237" t="s">
        <v>138</v>
      </c>
      <c r="L147" s="237" t="s">
        <v>48</v>
      </c>
      <c r="M147" s="238">
        <v>220</v>
      </c>
      <c r="N147" s="239">
        <f>+Indexacion!N40</f>
        <v>7793.57</v>
      </c>
      <c r="O147" s="239">
        <f>+Indexacion!M40</f>
        <v>8258.8700000000008</v>
      </c>
      <c r="P147" s="240">
        <f t="shared" ref="P147" si="50">+O147/N147-1</f>
        <v>5.9703062909552518E-2</v>
      </c>
      <c r="Q147" s="241" t="s">
        <v>56</v>
      </c>
      <c r="R147" s="238">
        <v>220</v>
      </c>
      <c r="S147" s="242">
        <f>+Indexacion!V40</f>
        <v>7303.36</v>
      </c>
      <c r="T147" s="239">
        <f>+Indexacion!U40</f>
        <v>7748.28</v>
      </c>
      <c r="U147" s="243">
        <f t="shared" ref="U147" si="51">+T147/S147-1</f>
        <v>6.0919905358629567E-2</v>
      </c>
    </row>
    <row r="148" spans="10:21" x14ac:dyDescent="0.2">
      <c r="J148" s="120">
        <v>45566</v>
      </c>
      <c r="K148" s="120" t="s">
        <v>140</v>
      </c>
      <c r="L148" s="120" t="s">
        <v>48</v>
      </c>
      <c r="M148" s="121">
        <v>220</v>
      </c>
      <c r="N148" s="142">
        <f>+Indexacion!N41</f>
        <v>8095.98</v>
      </c>
      <c r="O148" s="142">
        <f>+Indexacion!M41</f>
        <v>8231.66</v>
      </c>
      <c r="P148" s="150">
        <f t="shared" ref="P148" si="52">+O148/N148-1</f>
        <v>1.675893468116274E-2</v>
      </c>
      <c r="Q148" s="124" t="s">
        <v>56</v>
      </c>
      <c r="R148" s="121">
        <v>220</v>
      </c>
      <c r="S148" s="143">
        <f>+Indexacion!V41</f>
        <v>7590.87</v>
      </c>
      <c r="T148" s="142">
        <f>+Indexacion!U41</f>
        <v>7720.96</v>
      </c>
      <c r="U148" s="145">
        <f t="shared" ref="U148" si="53">+T148/S148-1</f>
        <v>1.7137693044407376E-2</v>
      </c>
    </row>
    <row r="149" spans="10:21" x14ac:dyDescent="0.2">
      <c r="J149" s="194">
        <v>45597</v>
      </c>
      <c r="K149" s="194" t="s">
        <v>140</v>
      </c>
      <c r="L149" s="194" t="s">
        <v>48</v>
      </c>
      <c r="M149" s="197">
        <v>220</v>
      </c>
      <c r="N149" s="195">
        <f>+Indexacion!N42</f>
        <v>8095.98</v>
      </c>
      <c r="O149" s="195">
        <f>+Indexacion!M42</f>
        <v>8244.94</v>
      </c>
      <c r="P149" s="198">
        <f t="shared" ref="P149" si="54">+O149/N149-1</f>
        <v>1.8399254938870957E-2</v>
      </c>
      <c r="Q149" s="199" t="s">
        <v>56</v>
      </c>
      <c r="R149" s="197">
        <v>220</v>
      </c>
      <c r="S149" s="200">
        <f>+Indexacion!V42</f>
        <v>7590.87</v>
      </c>
      <c r="T149" s="195">
        <f>+Indexacion!U42</f>
        <v>7733.67</v>
      </c>
      <c r="U149" s="201">
        <f t="shared" ref="U149" si="55">+T149/S149-1</f>
        <v>1.8812072924447421E-2</v>
      </c>
    </row>
    <row r="150" spans="10:21" x14ac:dyDescent="0.2">
      <c r="J150" s="38">
        <v>45627</v>
      </c>
      <c r="K150" s="38" t="s">
        <v>140</v>
      </c>
      <c r="L150" s="38" t="s">
        <v>48</v>
      </c>
      <c r="M150" s="77">
        <v>220</v>
      </c>
      <c r="N150" s="35">
        <f>+Indexacion!N43</f>
        <v>8095.98</v>
      </c>
      <c r="O150" s="35">
        <f>+Indexacion!M43</f>
        <v>8324.5400000000009</v>
      </c>
      <c r="P150" s="42">
        <f t="shared" ref="P150" si="56">+O150/N150-1</f>
        <v>2.8231295037784321E-2</v>
      </c>
      <c r="Q150" s="37" t="s">
        <v>56</v>
      </c>
      <c r="R150" s="77">
        <v>220</v>
      </c>
      <c r="S150" s="36">
        <f>+Indexacion!V43</f>
        <v>7590.87</v>
      </c>
      <c r="T150" s="35">
        <f>+Indexacion!U43</f>
        <v>7807.96</v>
      </c>
      <c r="U150" s="84">
        <f t="shared" ref="U150" si="57">+T150/S150-1</f>
        <v>2.8598829910142065E-2</v>
      </c>
    </row>
    <row r="151" spans="10:21" x14ac:dyDescent="0.2">
      <c r="J151" s="194">
        <v>45658</v>
      </c>
      <c r="K151" s="194" t="s">
        <v>140</v>
      </c>
      <c r="L151" s="194" t="s">
        <v>48</v>
      </c>
      <c r="M151" s="197">
        <v>220</v>
      </c>
      <c r="N151" s="195">
        <f>+Indexacion!N44</f>
        <v>8095.98</v>
      </c>
      <c r="O151" s="195">
        <f>+Indexacion!M44</f>
        <v>8568.44</v>
      </c>
      <c r="P151" s="198">
        <f t="shared" ref="P151" si="58">+O151/N151-1</f>
        <v>5.8357357602168092E-2</v>
      </c>
      <c r="Q151" s="199" t="s">
        <v>56</v>
      </c>
      <c r="R151" s="197">
        <v>220</v>
      </c>
      <c r="S151" s="200">
        <f>+Indexacion!V44</f>
        <v>7590.87</v>
      </c>
      <c r="T151" s="195">
        <f>+Indexacion!U44</f>
        <v>8044.46</v>
      </c>
      <c r="U151" s="201">
        <f t="shared" ref="U151" si="59">+T151/S151-1</f>
        <v>5.9754678976191133E-2</v>
      </c>
    </row>
    <row r="152" spans="10:21" x14ac:dyDescent="0.2">
      <c r="J152" s="38">
        <v>45689</v>
      </c>
      <c r="K152" s="38" t="s">
        <v>140</v>
      </c>
      <c r="L152" s="38" t="s">
        <v>48</v>
      </c>
      <c r="M152" s="77">
        <v>220</v>
      </c>
      <c r="N152" s="35">
        <f>+Indexacion!N45</f>
        <v>8095.98</v>
      </c>
      <c r="O152" s="35">
        <f>+Indexacion!M45</f>
        <v>8652.59</v>
      </c>
      <c r="P152" s="42">
        <f t="shared" ref="P152" si="60">+O152/N152-1</f>
        <v>6.8751405018293132E-2</v>
      </c>
      <c r="Q152" s="37" t="s">
        <v>56</v>
      </c>
      <c r="R152" s="77">
        <v>220</v>
      </c>
      <c r="S152" s="36">
        <f>+Indexacion!V45</f>
        <v>7590.87</v>
      </c>
      <c r="T152" s="35">
        <f>+Indexacion!U45</f>
        <v>8126.96</v>
      </c>
      <c r="U152" s="84">
        <f t="shared" ref="U152" si="61">+T152/S152-1</f>
        <v>7.0622998417836147E-2</v>
      </c>
    </row>
    <row r="153" spans="10:21" ht="13.5" thickBot="1" x14ac:dyDescent="0.25">
      <c r="J153" s="237">
        <v>45717</v>
      </c>
      <c r="K153" s="237" t="s">
        <v>140</v>
      </c>
      <c r="L153" s="237" t="s">
        <v>48</v>
      </c>
      <c r="M153" s="238">
        <v>220</v>
      </c>
      <c r="N153" s="239">
        <f>+Indexacion!N46</f>
        <v>8095.98</v>
      </c>
      <c r="O153" s="239">
        <f>+Indexacion!M46</f>
        <v>8812.39</v>
      </c>
      <c r="P153" s="240">
        <f t="shared" ref="P153" si="62">+O153/N153-1</f>
        <v>8.8489596071136489E-2</v>
      </c>
      <c r="Q153" s="241" t="s">
        <v>56</v>
      </c>
      <c r="R153" s="238">
        <v>220</v>
      </c>
      <c r="S153" s="242">
        <f>+Indexacion!V46</f>
        <v>7590.87</v>
      </c>
      <c r="T153" s="239">
        <f>+Indexacion!U46</f>
        <v>8278.69</v>
      </c>
      <c r="U153" s="243">
        <f t="shared" ref="U153" si="63">+T153/S153-1</f>
        <v>9.0611484586088364E-2</v>
      </c>
    </row>
    <row r="154" spans="10:21" x14ac:dyDescent="0.2">
      <c r="J154" s="116">
        <v>45748</v>
      </c>
      <c r="K154" s="116" t="s">
        <v>141</v>
      </c>
      <c r="L154" s="116" t="s">
        <v>48</v>
      </c>
      <c r="M154" s="139">
        <v>220</v>
      </c>
      <c r="N154" s="113">
        <f>+Indexacion!N47</f>
        <v>8568.64</v>
      </c>
      <c r="O154" s="113">
        <f>+Indexacion!M47</f>
        <v>8521.57</v>
      </c>
      <c r="P154" s="140">
        <f t="shared" ref="P154" si="64">+O154/N154-1</f>
        <v>-5.4932871494192126E-3</v>
      </c>
      <c r="Q154" s="115" t="s">
        <v>56</v>
      </c>
      <c r="R154" s="139">
        <v>220</v>
      </c>
      <c r="S154" s="114">
        <f>+Indexacion!V47</f>
        <v>8044.56</v>
      </c>
      <c r="T154" s="113">
        <f>+Indexacion!U47</f>
        <v>7994.57</v>
      </c>
      <c r="U154" s="137">
        <f t="shared" ref="U154" si="65">+T154/S154-1</f>
        <v>-6.2141372554870289E-3</v>
      </c>
    </row>
    <row r="155" spans="10:21" x14ac:dyDescent="0.2">
      <c r="J155" s="194">
        <v>45778</v>
      </c>
      <c r="K155" s="194" t="s">
        <v>141</v>
      </c>
      <c r="L155" s="194" t="s">
        <v>48</v>
      </c>
      <c r="M155" s="197">
        <v>220</v>
      </c>
      <c r="N155" s="195">
        <f>+Indexacion!N48</f>
        <v>8568.64</v>
      </c>
      <c r="O155" s="195">
        <f>+Indexacion!M48</f>
        <v>8413.2800000000007</v>
      </c>
      <c r="P155" s="198">
        <f t="shared" ref="P155" si="66">+O155/N155-1</f>
        <v>-1.8131232027486122E-2</v>
      </c>
      <c r="Q155" s="199" t="s">
        <v>56</v>
      </c>
      <c r="R155" s="197">
        <v>220</v>
      </c>
      <c r="S155" s="200">
        <f>+Indexacion!V48</f>
        <v>8044.56</v>
      </c>
      <c r="T155" s="195">
        <f>+Indexacion!U48</f>
        <v>7887.6</v>
      </c>
      <c r="U155" s="201">
        <f t="shared" ref="U155" si="67">+T155/S155-1</f>
        <v>-1.9511321936811932E-2</v>
      </c>
    </row>
    <row r="156" spans="10:21" x14ac:dyDescent="0.2">
      <c r="J156" s="38">
        <v>45809</v>
      </c>
      <c r="K156" s="38" t="s">
        <v>141</v>
      </c>
      <c r="L156" s="38" t="s">
        <v>48</v>
      </c>
      <c r="M156" s="77">
        <v>220</v>
      </c>
      <c r="N156" s="35">
        <f>+Indexacion!N49</f>
        <v>8568.64</v>
      </c>
      <c r="O156" s="35">
        <f>+Indexacion!M49</f>
        <v>8614.5400000000009</v>
      </c>
      <c r="P156" s="42">
        <f t="shared" ref="P156" si="68">+O156/N156-1</f>
        <v>5.3567427269674006E-3</v>
      </c>
      <c r="Q156" s="37" t="s">
        <v>56</v>
      </c>
      <c r="R156" s="77">
        <v>220</v>
      </c>
      <c r="S156" s="36">
        <f>+Indexacion!V49</f>
        <v>8044.56</v>
      </c>
      <c r="T156" s="35">
        <f>+Indexacion!U49</f>
        <v>8082.68</v>
      </c>
      <c r="U156" s="84">
        <f t="shared" ref="U156" si="69">+T156/S156-1</f>
        <v>4.7386059647762657E-3</v>
      </c>
    </row>
    <row r="157" spans="10:21" ht="13.5" thickBot="1" x14ac:dyDescent="0.25">
      <c r="J157" s="237">
        <v>45839</v>
      </c>
      <c r="K157" s="237" t="s">
        <v>141</v>
      </c>
      <c r="L157" s="237" t="s">
        <v>48</v>
      </c>
      <c r="M157" s="238">
        <v>220</v>
      </c>
      <c r="N157" s="239">
        <f>+Indexacion!N50</f>
        <v>8568.64</v>
      </c>
      <c r="O157" s="239">
        <f>+Indexacion!M50</f>
        <v>8523.86</v>
      </c>
      <c r="P157" s="240">
        <f t="shared" ref="P157" si="70">+O157/N157-1</f>
        <v>-5.2260335362436239E-3</v>
      </c>
      <c r="Q157" s="241" t="s">
        <v>56</v>
      </c>
      <c r="R157" s="238">
        <v>220</v>
      </c>
      <c r="S157" s="242">
        <f>+Indexacion!V50</f>
        <v>8044.56</v>
      </c>
      <c r="T157" s="239">
        <f>+Indexacion!U50</f>
        <v>7993.69</v>
      </c>
      <c r="U157" s="243">
        <f t="shared" ref="U157" si="71">+T157/S157-1</f>
        <v>-6.3235279493223384E-3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Paula Maldonado</cp:lastModifiedBy>
  <dcterms:created xsi:type="dcterms:W3CDTF">2009-07-17T15:28:27Z</dcterms:created>
  <dcterms:modified xsi:type="dcterms:W3CDTF">2025-06-10T21:14:14Z</dcterms:modified>
</cp:coreProperties>
</file>