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3/06_Junio-2023/"/>
    </mc:Choice>
  </mc:AlternateContent>
  <xr:revisionPtr revIDLastSave="333" documentId="8_{DBF63FFE-CF81-444D-BE2E-FBA825B5C677}" xr6:coauthVersionLast="47" xr6:coauthVersionMax="47" xr10:uidLastSave="{F23AB45E-83CD-476B-9CB5-60E7C945C80B}"/>
  <bookViews>
    <workbookView xWindow="-120" yWindow="-120" windowWidth="21840" windowHeight="13140" activeTab="5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2" i="24" l="1"/>
  <c r="N132" i="24"/>
  <c r="V25" i="25"/>
  <c r="N25" i="25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Q25" i="25" l="1"/>
  <c r="T25" i="25"/>
  <c r="S25" i="25"/>
  <c r="K25" i="25"/>
  <c r="L25" i="25"/>
  <c r="J25" i="25"/>
  <c r="I25" i="25"/>
  <c r="R25" i="25"/>
  <c r="U25" i="25" s="1"/>
  <c r="Q24" i="25"/>
  <c r="S24" i="25"/>
  <c r="T24" i="25"/>
  <c r="J24" i="25"/>
  <c r="K24" i="25"/>
  <c r="I24" i="25"/>
  <c r="M24" i="25" s="1"/>
  <c r="L24" i="25"/>
  <c r="R24" i="25"/>
  <c r="U24" i="25" s="1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W25" i="25" l="1"/>
  <c r="T132" i="24"/>
  <c r="U132" i="24" s="1"/>
  <c r="M25" i="25"/>
  <c r="W24" i="25"/>
  <c r="T131" i="24"/>
  <c r="U131" i="24" s="1"/>
  <c r="O24" i="25"/>
  <c r="O131" i="24"/>
  <c r="P131" i="24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O25" i="25" l="1"/>
  <c r="O132" i="24"/>
  <c r="P132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<sst xmlns="http://schemas.openxmlformats.org/spreadsheetml/2006/main" count="833" uniqueCount="131">
  <si>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</si>
  <si>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</si>
  <si>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</si>
  <si>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</si>
  <si>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</si>
  <si>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</si>
  <si>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</si>
  <si>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</si>
  <si>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</si>
  <si>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</si>
  <si>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</si>
  <si>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</si>
  <si>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</si>
  <si>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</si>
  <si>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</si>
  <si>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</si>
  <si>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</si>
  <si>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</si>
  <si>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</si>
  <si>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</si>
  <si>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</si>
  <si>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</si>
  <si>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</si>
  <si>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</si>
  <si>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</si>
  <si>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</si>
  <si>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</si>
  <si>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</si>
  <si>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</si>
  <si>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</si>
  <si>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</si>
  <si>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</si>
  <si>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</si>
  <si>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</si>
  <si>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</si>
  <si>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</si>
  <si>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</si>
  <si>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</si>
  <si>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</si>
  <si>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</si>
  <si>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</si>
  <si>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</si>
  <si>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</si>
  <si>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</si>
  <si>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</si>
  <si>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</si>
  <si>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</si>
  <si>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</si>
  <si>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</si>
  <si>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</si>
  <si>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</si>
  <si>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</si>
  <si>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</si>
  <si>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</si>
  <si>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</si>
  <si>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</si>
  <si>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</si>
  <si>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</si>
  <si>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</si>
  <si>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</si>
  <si>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</si>
  <si>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</si>
  <si>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</si>
  <si>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</si>
  <si>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</si>
  <si>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</si>
  <si>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</si>
  <si>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</si>
  <si>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</si>
  <si>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</si>
  <si>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</si>
  <si>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</si>
  <si>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</si>
  <si>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</si>
  <si>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</si>
  <si>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</si>
  <si>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</si>
  <si>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</si>
  <si>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</si>
  <si>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</si>
  <si>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</si>
  <si>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</si>
  <si>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</si>
  <si>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</si>
  <si>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</si>
  <si>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</si>
  <si>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</si>
  <si>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</si>
  <si>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</si>
  <si>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</si>
  <si>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</si>
  <si>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</si>
  <si>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</si>
  <si>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</si>
  <si>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</si>
  <si>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</si>
  <si>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</si>
  <si>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</si>
  <si>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</si>
  <si>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</si>
  <si>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</si>
  <si>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</si>
  <si>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</si>
  <si>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</si>
  <si>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</si>
  <si>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</si>
  <si>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</si>
  <si>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</si>
  <si>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</si>
  <si>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</si>
  <si>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</si>
  <si>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</si>
  <si>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</si>
  <si>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</si>
  <si>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</si>
  <si>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</si>
  <si>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</si>
  <si>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</si>
  <si>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</si>
  <si>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</si>
  <si>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</si>
  <si>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</si>
  <si>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</si>
  <si>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</si>
  <si>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</si>
  <si>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</si>
  <si>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</si>
  <si>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</si>
  <si>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</si>
  <si>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</si>
  <si>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Decreto 11T/2022 indexado por RE N°866/2022 y RE N°131/2023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</si>
</sst>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_ ;_ @_ 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4" fontId="0" fillId="0" borderId="1" xfId="3" applyFont="1" applyFill="1" applyBorder="1" applyAlignment="1">
      <alignment horizontal="center"/>
    </xf>
    <xf numFmtId="164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4" fontId="6" fillId="5" borderId="1" xfId="3" applyFont="1" applyFill="1" applyBorder="1" applyAlignment="1">
      <alignment horizontal="center"/>
    </xf>
    <xf numFmtId="164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4" fontId="0" fillId="0" borderId="27" xfId="3" applyFont="1" applyFill="1" applyBorder="1" applyAlignment="1">
      <alignment horizontal="center"/>
    </xf>
    <xf numFmtId="164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4" fontId="2" fillId="0" borderId="32" xfId="3" applyFont="1" applyFill="1" applyBorder="1" applyAlignment="1">
      <alignment horizontal="center"/>
    </xf>
    <xf numFmtId="164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4" fontId="6" fillId="5" borderId="37" xfId="3" applyFont="1" applyFill="1" applyBorder="1" applyAlignment="1">
      <alignment horizontal="center"/>
    </xf>
    <xf numFmtId="164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4" fontId="0" fillId="0" borderId="32" xfId="3" applyFont="1" applyFill="1" applyBorder="1" applyAlignment="1">
      <alignment horizontal="center"/>
    </xf>
    <xf numFmtId="164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4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4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4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4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4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4" fontId="6" fillId="0" borderId="18" xfId="3" applyFont="1" applyFill="1" applyBorder="1" applyAlignment="1">
      <alignment horizontal="center"/>
    </xf>
    <xf numFmtId="164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4" fontId="6" fillId="5" borderId="27" xfId="3" applyFont="1" applyFill="1" applyBorder="1" applyAlignment="1">
      <alignment horizontal="center"/>
    </xf>
    <xf numFmtId="164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4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4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4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4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4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4" fontId="6" fillId="5" borderId="32" xfId="3" applyFont="1" applyFill="1" applyBorder="1" applyAlignment="1">
      <alignment horizontal="center"/>
    </xf>
    <xf numFmtId="164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4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4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4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4" fontId="6" fillId="5" borderId="52" xfId="3" applyFont="1" applyFill="1" applyBorder="1" applyAlignment="1">
      <alignment horizontal="center"/>
    </xf>
    <xf numFmtId="164" fontId="6" fillId="0" borderId="41" xfId="3" applyFont="1" applyFill="1" applyBorder="1" applyAlignment="1">
      <alignment horizontal="center"/>
    </xf>
    <xf numFmtId="164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4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4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4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4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4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4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4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4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4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4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4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165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165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4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4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165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165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165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165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165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165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165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10" fontId="2" fillId="5" borderId="1" xfId="7" applyNumberFormat="1" applyFont="1" applyFill="1" applyBorder="1" applyAlignment="1">
      <alignment horizontal="center"/>
    </xf>
    <xf numFmtId="167" fontId="2" fillId="5" borderId="55" xfId="49" applyNumberFormat="1" applyFont="1" applyFill="1" applyBorder="1" applyAlignment="1">
      <alignment horizontal="center"/>
    </xf>
    <xf numFmtId="168" fontId="2" fillId="5" borderId="55" xfId="49" applyNumberFormat="1" applyFont="1" applyFill="1" applyBorder="1" applyAlignment="1">
      <alignment horizontal="center"/>
    </xf>
    <xf numFmtId="165" fontId="2" fillId="5" borderId="55" xfId="49" applyFont="1" applyFill="1" applyBorder="1" applyAlignment="1">
      <alignment horizontal="center"/>
    </xf>
    <xf numFmtId="167" fontId="0" fillId="5" borderId="55" xfId="49" applyNumberFormat="1" applyFont="1" applyFill="1" applyBorder="1" applyAlignment="1">
      <alignment horizontal="center"/>
    </xf>
    <xf numFmtId="170" fontId="0" fillId="5" borderId="55" xfId="7" applyNumberFormat="1" applyFont="1" applyFill="1" applyBorder="1" applyAlignment="1">
      <alignment horizontal="center"/>
    </xf>
    <xf numFmtId="165" fontId="0" fillId="5" borderId="55" xfId="49" applyFont="1" applyFill="1" applyBorder="1" applyAlignment="1">
      <alignment horizontal="center"/>
    </xf>
    <xf numFmtId="170" fontId="2" fillId="5" borderId="55" xfId="7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167" fontId="2" fillId="6" borderId="47" xfId="49" applyNumberFormat="1" applyFont="1" applyFill="1" applyBorder="1" applyAlignment="1">
      <alignment horizontal="center"/>
    </xf>
    <xf numFmtId="168" fontId="2" fillId="6" borderId="47" xfId="49" applyNumberFormat="1" applyFont="1" applyFill="1" applyBorder="1" applyAlignment="1">
      <alignment horizontal="center"/>
    </xf>
    <xf numFmtId="17" fontId="2" fillId="5" borderId="47" xfId="0" applyNumberFormat="1" applyFont="1" applyFill="1" applyBorder="1" applyAlignment="1">
      <alignment horizontal="center"/>
    </xf>
    <xf numFmtId="167" fontId="2" fillId="5" borderId="47" xfId="49" applyNumberFormat="1" applyFont="1" applyFill="1" applyBorder="1" applyAlignment="1">
      <alignment horizontal="center"/>
    </xf>
    <xf numFmtId="168" fontId="2" fillId="5" borderId="47" xfId="49" applyNumberFormat="1" applyFont="1" applyFill="1" applyBorder="1" applyAlignment="1">
      <alignment horizontal="center"/>
    </xf>
    <xf numFmtId="165" fontId="2" fillId="5" borderId="47" xfId="49" applyFont="1" applyFill="1" applyBorder="1" applyAlignment="1">
      <alignment horizontal="center"/>
    </xf>
    <xf numFmtId="167" fontId="0" fillId="5" borderId="47" xfId="49" applyNumberFormat="1" applyFont="1" applyFill="1" applyBorder="1" applyAlignment="1">
      <alignment horizontal="center"/>
    </xf>
    <xf numFmtId="170" fontId="0" fillId="5" borderId="47" xfId="7" applyNumberFormat="1" applyFont="1" applyFill="1" applyBorder="1" applyAlignment="1">
      <alignment horizontal="center"/>
    </xf>
    <xf numFmtId="165" fontId="0" fillId="5" borderId="47" xfId="49" applyFont="1" applyFill="1" applyBorder="1" applyAlignment="1">
      <alignment horizontal="center"/>
    </xf>
    <xf numFmtId="170" fontId="2" fillId="5" borderId="47" xfId="7" applyNumberFormat="1" applyFont="1" applyFill="1" applyBorder="1" applyAlignment="1">
      <alignment horizontal="center"/>
    </xf>
    <xf numFmtId="0" fontId="2" fillId="5" borderId="73" xfId="0" applyFont="1" applyFill="1" applyBorder="1" applyAlignment="1">
      <alignment horizontal="center"/>
    </xf>
    <xf numFmtId="164" fontId="6" fillId="5" borderId="47" xfId="3" applyFont="1" applyFill="1" applyBorder="1" applyAlignment="1">
      <alignment horizontal="center"/>
    </xf>
    <xf numFmtId="10" fontId="6" fillId="5" borderId="74" xfId="7" applyNumberFormat="1" applyFont="1" applyFill="1" applyBorder="1" applyAlignment="1">
      <alignment horizontal="center"/>
    </xf>
    <xf numFmtId="17" fontId="2" fillId="5" borderId="75" xfId="0" applyNumberFormat="1" applyFont="1" applyFill="1" applyBorder="1" applyAlignment="1">
      <alignment horizontal="center"/>
    </xf>
    <xf numFmtId="164" fontId="6" fillId="5" borderId="73" xfId="3" applyFont="1" applyFill="1" applyBorder="1" applyAlignment="1">
      <alignment horizontal="center"/>
    </xf>
    <xf numFmtId="10" fontId="6" fillId="5" borderId="47" xfId="7" applyNumberFormat="1" applyFont="1" applyFill="1" applyBorder="1" applyAlignment="1">
      <alignment horizontal="center"/>
    </xf>
    <xf numFmtId="17" fontId="2" fillId="0" borderId="47" xfId="0" applyNumberFormat="1" applyFont="1" applyBorder="1" applyAlignment="1">
      <alignment horizontal="center"/>
    </xf>
    <xf numFmtId="0" fontId="2" fillId="0" borderId="47" xfId="4" applyBorder="1" applyAlignment="1">
      <alignment horizontal="center" vertical="center"/>
    </xf>
    <xf numFmtId="172" fontId="2" fillId="0" borderId="47" xfId="49" applyNumberFormat="1" applyFont="1" applyFill="1" applyBorder="1" applyAlignment="1">
      <alignment horizontal="center"/>
    </xf>
    <xf numFmtId="167" fontId="2" fillId="0" borderId="47" xfId="49" applyNumberFormat="1" applyFont="1" applyFill="1" applyBorder="1" applyAlignment="1">
      <alignment horizontal="center"/>
    </xf>
    <xf numFmtId="168" fontId="2" fillId="0" borderId="47" xfId="49" applyNumberFormat="1" applyFont="1" applyFill="1" applyBorder="1" applyAlignment="1">
      <alignment horizontal="center"/>
    </xf>
    <xf numFmtId="171" fontId="2" fillId="0" borderId="47" xfId="49" applyNumberFormat="1" applyFont="1" applyFill="1" applyBorder="1" applyAlignment="1">
      <alignment horizontal="center"/>
    </xf>
    <xf numFmtId="174" fontId="2" fillId="0" borderId="47" xfId="49" applyNumberFormat="1" applyFont="1" applyFill="1" applyBorder="1" applyAlignment="1">
      <alignment horizont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28"/>
  <sheetViews>
    <sheetView showGridLines="0" workbookViewId="0">
      <selection activeCell="B28" sqref="B28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29"/>
  <sheetViews>
    <sheetView showGridLines="0" workbookViewId="0">
      <selection activeCell="D15" sqref="D15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24" t="s">
        <v>124</v>
      </c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323" t="s">
        <v>100</v>
      </c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5"/>
      <c r="AI6" s="323" t="s">
        <v>113</v>
      </c>
      <c r="AJ6" s="324"/>
      <c r="AK6" s="324"/>
      <c r="AL6" s="324"/>
    </row>
    <row r="7" spans="1:38" s="213" customFormat="1" ht="13.5" thickBot="1" x14ac:dyDescent="0.25">
      <c r="C7" s="326" t="s">
        <v>22</v>
      </c>
      <c r="D7" s="326" t="s">
        <v>24</v>
      </c>
      <c r="E7" s="326" t="s">
        <v>10</v>
      </c>
      <c r="F7" s="330" t="s">
        <v>80</v>
      </c>
      <c r="G7" s="331"/>
      <c r="H7" s="331"/>
      <c r="I7" s="332"/>
      <c r="J7" s="330" t="s">
        <v>99</v>
      </c>
      <c r="K7" s="331"/>
      <c r="L7" s="332"/>
      <c r="M7" s="330" t="s">
        <v>98</v>
      </c>
      <c r="N7" s="331"/>
      <c r="O7" s="332"/>
      <c r="P7" s="328" t="s">
        <v>77</v>
      </c>
      <c r="Q7" s="328" t="s">
        <v>97</v>
      </c>
      <c r="R7" s="328" t="s">
        <v>96</v>
      </c>
      <c r="S7" s="328" t="s">
        <v>95</v>
      </c>
      <c r="T7" s="326" t="s">
        <v>10</v>
      </c>
      <c r="U7" s="330" t="s">
        <v>80</v>
      </c>
      <c r="V7" s="331"/>
      <c r="W7" s="331"/>
      <c r="X7" s="332"/>
      <c r="Y7" s="330" t="s">
        <v>99</v>
      </c>
      <c r="Z7" s="331"/>
      <c r="AA7" s="332"/>
      <c r="AB7" s="330" t="s">
        <v>98</v>
      </c>
      <c r="AC7" s="331"/>
      <c r="AD7" s="332"/>
      <c r="AE7" s="328" t="s">
        <v>77</v>
      </c>
      <c r="AF7" s="328" t="s">
        <v>97</v>
      </c>
      <c r="AG7" s="328" t="s">
        <v>96</v>
      </c>
      <c r="AH7" s="328" t="s">
        <v>95</v>
      </c>
      <c r="AI7" s="328" t="s">
        <v>94</v>
      </c>
      <c r="AJ7" s="328" t="s">
        <v>93</v>
      </c>
      <c r="AK7" s="328" t="s">
        <v>92</v>
      </c>
      <c r="AL7" s="328" t="s">
        <v>91</v>
      </c>
    </row>
    <row r="8" spans="1:38" s="213" customFormat="1" ht="18.75" customHeight="1" thickBot="1" x14ac:dyDescent="0.25">
      <c r="C8" s="327"/>
      <c r="D8" s="327"/>
      <c r="E8" s="327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29"/>
      <c r="Q8" s="329"/>
      <c r="R8" s="329"/>
      <c r="S8" s="329"/>
      <c r="T8" s="327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29"/>
      <c r="AF8" s="329"/>
      <c r="AG8" s="329"/>
      <c r="AH8" s="329"/>
      <c r="AI8" s="329"/>
      <c r="AJ8" s="329"/>
      <c r="AK8" s="329"/>
      <c r="AL8" s="329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8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28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29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28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29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28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29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28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29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28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29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28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29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28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29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28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29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28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130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7074.26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29">
        <v>6616.86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130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7074.26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28">
        <v>6616.86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ht="13.5" thickBot="1" x14ac:dyDescent="0.25">
      <c r="C29" s="361">
        <v>45078</v>
      </c>
      <c r="D29" s="361" t="s">
        <v>130</v>
      </c>
      <c r="E29" s="362" t="s">
        <v>48</v>
      </c>
      <c r="F29" s="345">
        <v>546</v>
      </c>
      <c r="G29" s="363">
        <v>0.72697000000000001</v>
      </c>
      <c r="H29" s="363">
        <v>5.9339999999999997E-2</v>
      </c>
      <c r="I29" s="363">
        <v>0.21368999999999999</v>
      </c>
      <c r="J29" s="346">
        <v>72.837000000000003</v>
      </c>
      <c r="K29" s="363">
        <v>0.54988000000000004</v>
      </c>
      <c r="L29" s="363">
        <v>0.45012000000000002</v>
      </c>
      <c r="M29" s="346">
        <v>11.917999999999999</v>
      </c>
      <c r="N29" s="363">
        <v>0.15295</v>
      </c>
      <c r="O29" s="363">
        <v>0.84704999999999997</v>
      </c>
      <c r="P29" s="346">
        <v>1.107</v>
      </c>
      <c r="Q29" s="364">
        <v>7074.26</v>
      </c>
      <c r="R29" s="365">
        <v>1.1000000000000001</v>
      </c>
      <c r="S29" s="366">
        <v>1.0046999999999999</v>
      </c>
      <c r="T29" s="362" t="s">
        <v>56</v>
      </c>
      <c r="U29" s="346">
        <v>523.88</v>
      </c>
      <c r="V29" s="365">
        <v>0.73073999999999995</v>
      </c>
      <c r="W29" s="365">
        <v>5.9639999999999999E-2</v>
      </c>
      <c r="X29" s="365">
        <v>0.20962</v>
      </c>
      <c r="Y29" s="346">
        <v>67.846000000000004</v>
      </c>
      <c r="Z29" s="363">
        <v>0.64307000000000003</v>
      </c>
      <c r="AA29" s="363">
        <v>0.35693000000000003</v>
      </c>
      <c r="AB29" s="346">
        <v>7.7210000000000001</v>
      </c>
      <c r="AC29" s="365">
        <v>0.12336</v>
      </c>
      <c r="AD29" s="365">
        <v>0.87663999999999997</v>
      </c>
      <c r="AE29" s="346">
        <v>0.95299999999999996</v>
      </c>
      <c r="AF29" s="365">
        <v>6616.86</v>
      </c>
      <c r="AG29" s="365">
        <v>1.1000000000000001</v>
      </c>
      <c r="AH29" s="365">
        <v>1.0043</v>
      </c>
      <c r="AI29" s="367">
        <v>8.7849999999999994E-3</v>
      </c>
      <c r="AJ29" s="367">
        <v>8.1379999999999994E-3</v>
      </c>
      <c r="AK29" s="367">
        <v>8.0850000000000002E-3</v>
      </c>
      <c r="AL29" s="365">
        <v>1.0488090000000001</v>
      </c>
    </row>
  </sheetData>
  <mergeCells count="25">
    <mergeCell ref="AK7:AK8"/>
    <mergeCell ref="AL7:AL8"/>
    <mergeCell ref="Q7:Q8"/>
    <mergeCell ref="F7:I7"/>
    <mergeCell ref="J7:L7"/>
    <mergeCell ref="M7:O7"/>
    <mergeCell ref="Y7:AA7"/>
    <mergeCell ref="T7:T8"/>
    <mergeCell ref="S7:S8"/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63"/>
  <sheetViews>
    <sheetView topLeftCell="A22" workbookViewId="0">
      <selection activeCell="E63" sqref="E63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33" t="s">
        <v>112</v>
      </c>
      <c r="P5" s="333"/>
      <c r="Q5" s="333"/>
      <c r="R5" s="333"/>
      <c r="T5" s="334" t="s">
        <v>111</v>
      </c>
      <c r="U5" s="334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4">
        <v>245.03399999999999</v>
      </c>
      <c r="F47" s="314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3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3" x14ac:dyDescent="0.2">
      <c r="B50" s="38">
        <v>44896</v>
      </c>
      <c r="C50" s="39">
        <v>875.66</v>
      </c>
      <c r="D50" s="40">
        <v>129.02000000000001</v>
      </c>
      <c r="E50" s="41"/>
      <c r="F50" s="41"/>
      <c r="H50" s="223">
        <f t="shared" si="21"/>
        <v>1.1276576564974952</v>
      </c>
      <c r="I50" s="224">
        <f t="shared" si="22"/>
        <v>1.2459681313375182</v>
      </c>
      <c r="J50" s="223">
        <f t="shared" si="23"/>
        <v>0</v>
      </c>
      <c r="K50" s="223">
        <f t="shared" si="24"/>
        <v>0</v>
      </c>
      <c r="M50" s="268"/>
    </row>
    <row r="51" spans="2:13" x14ac:dyDescent="0.2">
      <c r="B51" s="2">
        <v>44927</v>
      </c>
      <c r="C51" s="308">
        <v>826.34</v>
      </c>
      <c r="D51" s="309">
        <v>130.05000000000001</v>
      </c>
      <c r="E51" s="19"/>
      <c r="F51" s="19"/>
      <c r="H51" s="221">
        <f t="shared" si="21"/>
        <v>1.0641443344107762</v>
      </c>
      <c r="I51" s="222">
        <f t="shared" si="22"/>
        <v>1.2559150169000484</v>
      </c>
      <c r="J51" s="221">
        <f t="shared" si="23"/>
        <v>0</v>
      </c>
      <c r="K51" s="221">
        <f t="shared" si="24"/>
        <v>0</v>
      </c>
    </row>
    <row r="52" spans="2:13" x14ac:dyDescent="0.2">
      <c r="B52" s="38">
        <v>44958</v>
      </c>
      <c r="C52" s="310">
        <v>798.26</v>
      </c>
      <c r="D52" s="311">
        <v>129.97</v>
      </c>
      <c r="E52" s="315"/>
      <c r="F52" s="312"/>
      <c r="H52" s="223">
        <f t="shared" si="21"/>
        <v>1.0279834649015491</v>
      </c>
      <c r="I52" s="224">
        <f t="shared" si="22"/>
        <v>1.2551424432641236</v>
      </c>
      <c r="J52" s="223">
        <f t="shared" si="23"/>
        <v>0</v>
      </c>
      <c r="K52" s="223">
        <f t="shared" si="24"/>
        <v>0</v>
      </c>
    </row>
    <row r="53" spans="2:13" x14ac:dyDescent="0.2">
      <c r="B53" s="2">
        <v>44986</v>
      </c>
      <c r="C53" s="308">
        <v>809.5</v>
      </c>
      <c r="D53" s="309">
        <v>131.38</v>
      </c>
      <c r="E53" s="313"/>
      <c r="F53" s="313"/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0</v>
      </c>
      <c r="K53" s="221">
        <f t="shared" ref="K53:K58" si="28">+F53/Q$7</f>
        <v>0</v>
      </c>
    </row>
    <row r="54" spans="2:13" x14ac:dyDescent="0.2">
      <c r="B54" s="38">
        <v>45017</v>
      </c>
      <c r="C54" s="310">
        <v>803.84</v>
      </c>
      <c r="D54" s="311">
        <v>131.79</v>
      </c>
      <c r="E54" s="312"/>
      <c r="F54" s="312"/>
      <c r="H54" s="223">
        <f t="shared" si="25"/>
        <v>1.0351692787142803</v>
      </c>
      <c r="I54" s="224">
        <f t="shared" si="26"/>
        <v>1.27271849348141</v>
      </c>
      <c r="J54" s="223">
        <f t="shared" si="27"/>
        <v>0</v>
      </c>
      <c r="K54" s="223">
        <f t="shared" si="28"/>
        <v>0</v>
      </c>
    </row>
    <row r="55" spans="2:13" x14ac:dyDescent="0.2">
      <c r="B55" s="2">
        <v>45047</v>
      </c>
      <c r="C55" s="308"/>
      <c r="D55" s="309"/>
      <c r="E55" s="313"/>
      <c r="F55" s="313"/>
      <c r="H55" s="221">
        <f t="shared" si="25"/>
        <v>0</v>
      </c>
      <c r="I55" s="222">
        <f t="shared" si="26"/>
        <v>0</v>
      </c>
      <c r="J55" s="221">
        <f t="shared" si="27"/>
        <v>0</v>
      </c>
      <c r="K55" s="221">
        <f t="shared" si="28"/>
        <v>0</v>
      </c>
    </row>
    <row r="56" spans="2:13" x14ac:dyDescent="0.2">
      <c r="B56" s="38">
        <v>45078</v>
      </c>
      <c r="C56" s="310"/>
      <c r="D56" s="311"/>
      <c r="E56" s="312"/>
      <c r="F56" s="312"/>
      <c r="H56" s="223">
        <f t="shared" si="25"/>
        <v>0</v>
      </c>
      <c r="I56" s="224">
        <f t="shared" si="26"/>
        <v>0</v>
      </c>
      <c r="J56" s="223">
        <f t="shared" si="27"/>
        <v>0</v>
      </c>
      <c r="K56" s="223">
        <f t="shared" si="28"/>
        <v>0</v>
      </c>
    </row>
    <row r="57" spans="2:13" x14ac:dyDescent="0.2">
      <c r="B57" s="2">
        <v>45108</v>
      </c>
      <c r="C57" s="308"/>
      <c r="D57" s="309"/>
      <c r="E57" s="313"/>
      <c r="F57" s="313"/>
      <c r="H57" s="221">
        <f t="shared" si="25"/>
        <v>0</v>
      </c>
      <c r="I57" s="222">
        <f t="shared" si="26"/>
        <v>0</v>
      </c>
      <c r="J57" s="221">
        <f t="shared" si="27"/>
        <v>0</v>
      </c>
      <c r="K57" s="221">
        <f t="shared" si="28"/>
        <v>0</v>
      </c>
    </row>
    <row r="58" spans="2:13" x14ac:dyDescent="0.2">
      <c r="B58" s="38">
        <v>45139</v>
      </c>
      <c r="C58" s="310"/>
      <c r="D58" s="311"/>
      <c r="E58" s="312"/>
      <c r="F58" s="312"/>
      <c r="H58" s="223">
        <f t="shared" si="25"/>
        <v>0</v>
      </c>
      <c r="I58" s="224">
        <f t="shared" si="26"/>
        <v>0</v>
      </c>
      <c r="J58" s="223">
        <f t="shared" si="27"/>
        <v>0</v>
      </c>
      <c r="K58" s="223">
        <f t="shared" si="28"/>
        <v>0</v>
      </c>
    </row>
    <row r="59" spans="2:13" x14ac:dyDescent="0.2">
      <c r="B59" s="2">
        <v>45170</v>
      </c>
      <c r="C59" s="308"/>
      <c r="D59" s="309"/>
      <c r="E59" s="313"/>
      <c r="F59" s="313"/>
      <c r="H59" s="221">
        <f t="shared" ref="H59:H63" si="29">+C59/O$7</f>
        <v>0</v>
      </c>
      <c r="I59" s="222">
        <f t="shared" ref="I59:I63" si="30">+D59/R$7</f>
        <v>0</v>
      </c>
      <c r="J59" s="221">
        <f t="shared" ref="J59:J63" si="31">+E59/P$7</f>
        <v>0</v>
      </c>
      <c r="K59" s="221">
        <f t="shared" ref="K59:K63" si="32">+F59/Q$7</f>
        <v>0</v>
      </c>
    </row>
    <row r="60" spans="2:13" x14ac:dyDescent="0.2">
      <c r="B60" s="38">
        <v>45200</v>
      </c>
      <c r="C60" s="310"/>
      <c r="D60" s="311"/>
      <c r="E60" s="312"/>
      <c r="F60" s="312"/>
      <c r="H60" s="223">
        <f t="shared" si="29"/>
        <v>0</v>
      </c>
      <c r="I60" s="224">
        <f t="shared" si="30"/>
        <v>0</v>
      </c>
      <c r="J60" s="223">
        <f t="shared" si="31"/>
        <v>0</v>
      </c>
      <c r="K60" s="223">
        <f t="shared" si="32"/>
        <v>0</v>
      </c>
    </row>
    <row r="61" spans="2:13" x14ac:dyDescent="0.2">
      <c r="B61" s="2">
        <v>45231</v>
      </c>
      <c r="C61" s="308"/>
      <c r="D61" s="309"/>
      <c r="E61" s="313"/>
      <c r="F61" s="313"/>
      <c r="H61" s="221">
        <f t="shared" si="29"/>
        <v>0</v>
      </c>
      <c r="I61" s="222">
        <f t="shared" si="30"/>
        <v>0</v>
      </c>
      <c r="J61" s="221">
        <f t="shared" si="31"/>
        <v>0</v>
      </c>
      <c r="K61" s="221">
        <f t="shared" si="32"/>
        <v>0</v>
      </c>
    </row>
    <row r="62" spans="2:13" x14ac:dyDescent="0.2">
      <c r="B62" s="38">
        <v>45261</v>
      </c>
      <c r="C62" s="310"/>
      <c r="D62" s="311"/>
      <c r="E62" s="312"/>
      <c r="F62" s="312"/>
      <c r="H62" s="223">
        <f t="shared" si="29"/>
        <v>0</v>
      </c>
      <c r="I62" s="224">
        <f t="shared" si="30"/>
        <v>0</v>
      </c>
      <c r="J62" s="223">
        <f t="shared" si="31"/>
        <v>0</v>
      </c>
      <c r="K62" s="223">
        <f t="shared" si="32"/>
        <v>0</v>
      </c>
    </row>
    <row r="63" spans="2:13" x14ac:dyDescent="0.2">
      <c r="B63" s="2">
        <v>45292</v>
      </c>
      <c r="C63" s="308"/>
      <c r="D63" s="309"/>
      <c r="E63" s="313"/>
      <c r="F63" s="313"/>
      <c r="H63" s="221">
        <f t="shared" si="29"/>
        <v>0</v>
      </c>
      <c r="I63" s="222">
        <f t="shared" si="30"/>
        <v>0</v>
      </c>
      <c r="J63" s="221">
        <f t="shared" si="31"/>
        <v>0</v>
      </c>
      <c r="K63" s="221">
        <f t="shared" si="32"/>
        <v>0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31"/>
  <sheetViews>
    <sheetView showGridLines="0" topLeftCell="L1" zoomScaleNormal="100" workbookViewId="0">
      <selection activeCell="C22" sqref="C22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37"/>
      <c r="R1" s="337"/>
      <c r="S1" s="337"/>
      <c r="T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</row>
    <row r="2" spans="1:40" ht="13.5" thickBot="1" x14ac:dyDescent="0.25">
      <c r="H2" s="323" t="s">
        <v>67</v>
      </c>
      <c r="I2" s="324"/>
      <c r="J2" s="324"/>
      <c r="K2" s="324"/>
      <c r="L2" s="324"/>
      <c r="M2" s="324"/>
      <c r="N2" s="324"/>
      <c r="O2" s="325"/>
      <c r="P2" s="323" t="s">
        <v>68</v>
      </c>
      <c r="Q2" s="324" t="s">
        <v>68</v>
      </c>
      <c r="R2" s="324"/>
      <c r="S2" s="324"/>
      <c r="T2" s="324"/>
      <c r="U2" s="324"/>
      <c r="V2" s="324"/>
      <c r="W2" s="325"/>
    </row>
    <row r="3" spans="1:40" s="213" customFormat="1" ht="19.5" customHeight="1" thickBot="1" x14ac:dyDescent="0.25">
      <c r="B3" s="335" t="s">
        <v>115</v>
      </c>
      <c r="C3" s="341" t="s">
        <v>24</v>
      </c>
      <c r="D3" s="338" t="s">
        <v>117</v>
      </c>
      <c r="E3" s="339"/>
      <c r="F3" s="339"/>
      <c r="G3" s="340"/>
      <c r="H3" s="343" t="s">
        <v>10</v>
      </c>
      <c r="I3" s="330" t="s">
        <v>86</v>
      </c>
      <c r="J3" s="331"/>
      <c r="K3" s="331"/>
      <c r="L3" s="332"/>
      <c r="M3" s="328" t="s">
        <v>116</v>
      </c>
      <c r="N3" s="328" t="s">
        <v>85</v>
      </c>
      <c r="O3" s="328" t="s">
        <v>114</v>
      </c>
      <c r="P3" s="343" t="s">
        <v>10</v>
      </c>
      <c r="Q3" s="330" t="s">
        <v>86</v>
      </c>
      <c r="R3" s="331"/>
      <c r="S3" s="331"/>
      <c r="T3" s="332"/>
      <c r="U3" s="328" t="s">
        <v>116</v>
      </c>
      <c r="V3" s="328" t="s">
        <v>85</v>
      </c>
      <c r="W3" s="328" t="s">
        <v>114</v>
      </c>
    </row>
    <row r="4" spans="1:40" s="213" customFormat="1" ht="32.25" customHeight="1" thickBot="1" x14ac:dyDescent="0.25">
      <c r="B4" s="336"/>
      <c r="C4" s="342"/>
      <c r="D4" s="12" t="s">
        <v>84</v>
      </c>
      <c r="E4" s="12" t="s">
        <v>83</v>
      </c>
      <c r="F4" s="12" t="s">
        <v>82</v>
      </c>
      <c r="G4" s="32" t="s">
        <v>81</v>
      </c>
      <c r="H4" s="344"/>
      <c r="I4" s="69" t="s">
        <v>80</v>
      </c>
      <c r="J4" s="69" t="s">
        <v>79</v>
      </c>
      <c r="K4" s="69" t="s">
        <v>78</v>
      </c>
      <c r="L4" s="69" t="s">
        <v>77</v>
      </c>
      <c r="M4" s="329"/>
      <c r="N4" s="329"/>
      <c r="O4" s="329"/>
      <c r="P4" s="344"/>
      <c r="Q4" s="69" t="s">
        <v>80</v>
      </c>
      <c r="R4" s="69" t="s">
        <v>79</v>
      </c>
      <c r="S4" s="69" t="s">
        <v>78</v>
      </c>
      <c r="T4" s="69" t="s">
        <v>77</v>
      </c>
      <c r="U4" s="329"/>
      <c r="V4" s="329"/>
      <c r="W4" s="329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175">
        <v>45017</v>
      </c>
      <c r="C23" s="175" t="s">
        <v>130</v>
      </c>
      <c r="D23" s="316">
        <f>+VLOOKUP(DATE(YEAR(B23),MONTH(B23)-2,1),Indices!$B:$F,2,0)</f>
        <v>798.26</v>
      </c>
      <c r="E23" s="317">
        <f>+VLOOKUP(DATE(YEAR(B23),MONTH(B23)-7,1),Indices!$B:$F,4,0)</f>
        <v>245.03399999999999</v>
      </c>
      <c r="F23" s="317">
        <f>+VLOOKUP(DATE(YEAR(B23),MONTH(B23)-7,1),Indices!$B:$F,5,0)</f>
        <v>267.89800000000002</v>
      </c>
      <c r="G23" s="316">
        <f>+VLOOKUP(DATE(YEAR(B23),MONTH(B23)-2,1),Indices!$B:$F,3,0)</f>
        <v>129.97</v>
      </c>
      <c r="H23" s="318" t="s">
        <v>48</v>
      </c>
      <c r="I23" s="316">
        <f>(VLOOKUP(B23,Parámetros!$C:$Q,5,0)*E23/Indices!$P$7+VLOOKUP(B23,Parámetros!$C:$Q,6,0)*F23/Indices!$Q$7+VLOOKUP(B23,Parámetros!$C:$Q,7,0)*G23/Indices!$R$7*Indices!$O$7/D23)*Parámetros!F27</f>
        <v>623.30906550767918</v>
      </c>
      <c r="J23" s="316">
        <f>+(VLOOKUP($B23,Parámetros!$C:$L,9,0)*F23/Indices!$Q$7+VLOOKUP($B23,Parámetros!$C:$L,10,0)*Indices!$O$7/D23*G23/Indices!$R$7)*Parámetros!J27</f>
        <v>93.598530610136109</v>
      </c>
      <c r="K23" s="316">
        <f>+(VLOOKUP(B23,Parámetros!$C:$O,12,0)*F23/Indices!$Q$7+VLOOKUP(B23,Parámetros!$C:$O,13,0)*Indices!$O$7/D23*G23/Indices!$R$7)*Parámetros!M27</f>
        <v>14.763962275397718</v>
      </c>
      <c r="L23" s="316">
        <f>+Parámetros!P27*Indices!$O$7/D23*G23/Indices!$R$7</f>
        <v>1.3516196827411546</v>
      </c>
      <c r="M23" s="319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319">
        <f>+VLOOKUP($B23,Parámetros!$C:$AL,15,0)</f>
        <v>7074.26</v>
      </c>
      <c r="O23" s="320">
        <f t="shared" ref="O23" si="14">+M23/N23-1</f>
        <v>0</v>
      </c>
      <c r="P23" s="321" t="s">
        <v>56</v>
      </c>
      <c r="Q23" s="319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319">
        <f>+(VLOOKUP(B23,Parámetros!$C:$AL,24,0)*F23/Indices!$Q$7+VLOOKUP(B23,Parámetros!$C:$AL,25,0)*Indices!$O$7/D23*G23/Indices!$R$7)*Parámetros!Y27</f>
        <v>87.921523718922074</v>
      </c>
      <c r="S23" s="319">
        <f>+(VLOOKUP(B23,Parámetros!$C:$AL,27,0)*F23/Indices!$Q$7+VLOOKUP(B23,Parámetros!$C:$AL,28,0)*Indices!$O$7/D23*G23/Indices!$R$7)*Parámetros!AB27</f>
        <v>9.538120407808016</v>
      </c>
      <c r="T23" s="319">
        <f>Parámetros!AE27*Indices!$O$7/D23*G23/Indices!$R$7</f>
        <v>1.1635894829740923</v>
      </c>
      <c r="U23" s="319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316">
        <f>+VLOOKUP($B23,Parámetros!$C:$AL,30,0)</f>
        <v>6616.86</v>
      </c>
      <c r="W23" s="322">
        <f t="shared" si="13"/>
        <v>0</v>
      </c>
    </row>
    <row r="24" spans="2:31" x14ac:dyDescent="0.2">
      <c r="B24" s="194">
        <v>45047</v>
      </c>
      <c r="C24" s="194" t="s">
        <v>130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7074.26</v>
      </c>
      <c r="O24" s="303">
        <f t="shared" ref="O24" si="15">+M24/N24-1</f>
        <v>1.2616160559549616E-2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6616.86</v>
      </c>
      <c r="W24" s="230">
        <f t="shared" ref="W24" si="16">+U24/V24-1</f>
        <v>1.2623812503211651E-2</v>
      </c>
    </row>
    <row r="25" spans="2:31" ht="13.5" thickBot="1" x14ac:dyDescent="0.25">
      <c r="B25" s="347">
        <v>45078</v>
      </c>
      <c r="C25" s="347" t="s">
        <v>130</v>
      </c>
      <c r="D25" s="348">
        <f>+VLOOKUP(DATE(YEAR(B25),MONTH(B25)-2,1),Indices!$B:$F,2,0)</f>
        <v>803.84</v>
      </c>
      <c r="E25" s="349">
        <f>+VLOOKUP(DATE(YEAR(B25),MONTH(B25)-7,1),Indices!$B:$F,4,0)</f>
        <v>245.959</v>
      </c>
      <c r="F25" s="349">
        <f>+VLOOKUP(DATE(YEAR(B25),MONTH(B25)-7,1),Indices!$B:$F,5,0)</f>
        <v>263.15699999999998</v>
      </c>
      <c r="G25" s="348">
        <f>+VLOOKUP(DATE(YEAR(B25),MONTH(B25)-2,1),Indices!$B:$F,3,0)</f>
        <v>131.79</v>
      </c>
      <c r="H25" s="350" t="s">
        <v>48</v>
      </c>
      <c r="I25" s="348">
        <f>(VLOOKUP(B25,Parámetros!$C:$Q,5,0)*E25/Indices!$P$7+VLOOKUP(B25,Parámetros!$C:$Q,6,0)*F25/Indices!$Q$7+VLOOKUP(B25,Parámetros!$C:$Q,7,0)*G25/Indices!$R$7*Indices!$O$7/D25)*Parámetros!F29</f>
        <v>625.18592682520273</v>
      </c>
      <c r="J25" s="348">
        <f>+(VLOOKUP($B25,Parámetros!$C:$L,9,0)*F25/Indices!$Q$7+VLOOKUP($B25,Parámetros!$C:$L,10,0)*Indices!$O$7/D25*G25/Indices!$R$7)*Parámetros!J29</f>
        <v>92.929313026453713</v>
      </c>
      <c r="K25" s="348">
        <f>+(VLOOKUP(B25,Parámetros!$C:$O,12,0)*F25/Indices!$Q$7+VLOOKUP(B25,Parámetros!$C:$O,13,0)*Indices!$O$7/D25*G25/Indices!$R$7)*Parámetros!M29</f>
        <v>14.806658104427713</v>
      </c>
      <c r="L25" s="348">
        <f>+Parámetros!P29*Indices!$O$7/D25*G25/Indices!$R$7</f>
        <v>1.3610328293685718</v>
      </c>
      <c r="M25" s="351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351">
        <f>+VLOOKUP($B25,Parámetros!$C:$AL,15,0)</f>
        <v>7074.26</v>
      </c>
      <c r="O25" s="352">
        <f t="shared" ref="O25" si="17">+M25/N25-1</f>
        <v>9.6716829746150701E-3</v>
      </c>
      <c r="P25" s="353" t="s">
        <v>56</v>
      </c>
      <c r="Q25" s="351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351">
        <f>+(VLOOKUP(B25,Parámetros!$C:$AL,24,0)*F25/Indices!$Q$7+VLOOKUP(B25,Parámetros!$C:$AL,25,0)*Indices!$O$7/D25*G25/Indices!$R$7)*Parámetros!Y29</f>
        <v>87.094748166375524</v>
      </c>
      <c r="S25" s="351">
        <f>+(VLOOKUP(B25,Parámetros!$C:$AL,27,0)*F25/Indices!$Q$7+VLOOKUP(B25,Parámetros!$C:$AL,28,0)*Indices!$O$7/D25*G25/Indices!$R$7)*Parámetros!AB29</f>
        <v>9.5731309641241964</v>
      </c>
      <c r="T25" s="351">
        <f>Parámetros!AE29*Indices!$O$7/D25*G25/Indices!$R$7</f>
        <v>1.1716931223019413</v>
      </c>
      <c r="U25" s="351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348">
        <f>+VLOOKUP($B25,Parámetros!$C:$AL,30,0)</f>
        <v>6616.86</v>
      </c>
      <c r="W25" s="354">
        <f t="shared" ref="W25" si="18">+U25/V25-1</f>
        <v>9.3836049122997256E-3</v>
      </c>
    </row>
    <row r="31" spans="2:31" ht="12" customHeight="1" x14ac:dyDescent="0.2"/>
  </sheetData>
  <mergeCells count="17"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  <mergeCell ref="P2:W2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E38" sqref="E38"/>
    </sheetView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32"/>
  <sheetViews>
    <sheetView showGridLines="0" tabSelected="1" topLeftCell="G1" zoomScale="85" zoomScaleNormal="85" workbookViewId="0">
      <pane ySplit="4" topLeftCell="A103" activePane="bottomLeft" state="frozen"/>
      <selection pane="bottomLeft" activeCell="K125" sqref="K125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x14ac:dyDescent="0.2">
      <c r="J129" s="194">
        <v>44986</v>
      </c>
      <c r="K129" s="194" t="s">
        <v>129</v>
      </c>
      <c r="L129" s="194" t="s">
        <v>48</v>
      </c>
      <c r="M129" s="197">
        <v>220</v>
      </c>
      <c r="N129" s="195">
        <f>+Indexacion!N22</f>
        <v>7940</v>
      </c>
      <c r="O129" s="195">
        <f>+Indexacion!M22</f>
        <v>7260.14</v>
      </c>
      <c r="P129" s="198">
        <f t="shared" ref="P129:P130" si="22">+O129/N129-1</f>
        <v>-8.5624685138539047E-2</v>
      </c>
      <c r="Q129" s="199" t="s">
        <v>56</v>
      </c>
      <c r="R129" s="197">
        <v>220</v>
      </c>
      <c r="S129" s="200">
        <f>+Indexacion!V22</f>
        <v>7465.69</v>
      </c>
      <c r="T129" s="195">
        <f>+Indexacion!U22</f>
        <v>6797.72</v>
      </c>
      <c r="U129" s="201">
        <f t="shared" ref="U129:U130" si="23">+T129/S129-1</f>
        <v>-8.9471971110506754E-2</v>
      </c>
    </row>
    <row r="130" spans="10:21" x14ac:dyDescent="0.2">
      <c r="J130" s="175">
        <v>45017</v>
      </c>
      <c r="K130" s="175" t="s">
        <v>130</v>
      </c>
      <c r="L130" s="175" t="s">
        <v>48</v>
      </c>
      <c r="M130" s="176">
        <v>220</v>
      </c>
      <c r="N130" s="177">
        <f>+Indexacion!N23</f>
        <v>7074.26</v>
      </c>
      <c r="O130" s="177">
        <f>+Indexacion!M23</f>
        <v>7074.26</v>
      </c>
      <c r="P130" s="178">
        <f t="shared" si="22"/>
        <v>0</v>
      </c>
      <c r="Q130" s="179" t="s">
        <v>56</v>
      </c>
      <c r="R130" s="176">
        <v>220</v>
      </c>
      <c r="S130" s="151">
        <f>+Indexacion!V23</f>
        <v>6616.86</v>
      </c>
      <c r="T130" s="177">
        <f>+Indexacion!U23</f>
        <v>6616.86</v>
      </c>
      <c r="U130" s="180">
        <f t="shared" si="23"/>
        <v>0</v>
      </c>
    </row>
    <row r="131" spans="10:21" x14ac:dyDescent="0.2">
      <c r="J131" s="194">
        <v>45047</v>
      </c>
      <c r="K131" s="194" t="s">
        <v>130</v>
      </c>
      <c r="L131" s="194" t="s">
        <v>48</v>
      </c>
      <c r="M131" s="197">
        <v>220</v>
      </c>
      <c r="N131" s="195">
        <f>+Indexacion!N24</f>
        <v>7074.26</v>
      </c>
      <c r="O131" s="195">
        <f>+Indexacion!M24</f>
        <v>7163.51</v>
      </c>
      <c r="P131" s="198">
        <f t="shared" ref="P131:P132" si="24">+O131/N131-1</f>
        <v>1.2616160559549616E-2</v>
      </c>
      <c r="Q131" s="199" t="s">
        <v>56</v>
      </c>
      <c r="R131" s="197">
        <v>220</v>
      </c>
      <c r="S131" s="200">
        <f>+Indexacion!V24</f>
        <v>6616.86</v>
      </c>
      <c r="T131" s="195">
        <f>+Indexacion!U24</f>
        <v>6700.39</v>
      </c>
      <c r="U131" s="201">
        <f t="shared" ref="U131:U132" si="25">+T131/S131-1</f>
        <v>1.2623812503211651E-2</v>
      </c>
    </row>
    <row r="132" spans="10:21" ht="13.5" thickBot="1" x14ac:dyDescent="0.25">
      <c r="J132" s="347">
        <v>45078</v>
      </c>
      <c r="K132" s="347" t="s">
        <v>130</v>
      </c>
      <c r="L132" s="347" t="s">
        <v>48</v>
      </c>
      <c r="M132" s="355">
        <v>220</v>
      </c>
      <c r="N132" s="356">
        <f>+Indexacion!N25</f>
        <v>7074.26</v>
      </c>
      <c r="O132" s="356">
        <f>+Indexacion!M25</f>
        <v>7142.68</v>
      </c>
      <c r="P132" s="357">
        <f t="shared" si="24"/>
        <v>9.6716829746150701E-3</v>
      </c>
      <c r="Q132" s="358" t="s">
        <v>56</v>
      </c>
      <c r="R132" s="355">
        <v>220</v>
      </c>
      <c r="S132" s="359">
        <f>+Indexacion!V25</f>
        <v>6616.86</v>
      </c>
      <c r="T132" s="356">
        <f>+Indexacion!U25</f>
        <v>6678.95</v>
      </c>
      <c r="U132" s="360">
        <f t="shared" si="25"/>
        <v>9.3836049122997256E-3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Felipe  Toledo</cp:lastModifiedBy>
  <dcterms:created xsi:type="dcterms:W3CDTF">2009-07-17T15:28:27Z</dcterms:created>
  <dcterms:modified xsi:type="dcterms:W3CDTF">2023-05-09T14:57:19Z</dcterms:modified>
</cp:coreProperties>
</file>