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omisionenergia-my.sharepoint.com/personal/onedrive-subdeptmelec_cne_cl/Documents/Indexación de la Potencia/2023/04_Abril-2023/A página web/"/>
    </mc:Choice>
  </mc:AlternateContent>
  <xr:revisionPtr revIDLastSave="265" documentId="8_{DBF63FFE-CF81-444D-BE2E-FBA825B5C677}" xr6:coauthVersionLast="47" xr6:coauthVersionMax="47" xr10:uidLastSave="{ACE5DD7A-731B-4189-9D26-323031997FD4}"/>
  <bookViews>
    <workbookView xWindow="-120" yWindow="-120" windowWidth="29040" windowHeight="15840" activeTab="3" xr2:uid="{00000000-000D-0000-FFFF-FFFF00000000}"/>
  </bookViews>
  <sheets>
    <sheet name="Fuentes" sheetId="8" r:id="rId1"/>
    <sheet name="Parámetros" sheetId="26" r:id="rId2"/>
    <sheet name="Indices" sheetId="28" r:id="rId3"/>
    <sheet name="Indexacion" sheetId="25" r:id="rId4"/>
    <sheet name="Formulas" sheetId="27" r:id="rId5"/>
    <sheet name="Histórico" sheetId="24" r:id="rId6"/>
  </sheets>
  <externalReferences>
    <externalReference r:id="rId7"/>
  </externalReferences>
  <definedNames>
    <definedName name="a">#REF!</definedName>
    <definedName name="ad">#REF!</definedName>
    <definedName name="Area_a_imprimir">#REF!</definedName>
    <definedName name="_xlnm.Print_Area" localSheetId="0">Fuentes!$A$1:$E$3</definedName>
    <definedName name="_xlnm.Print_Area" localSheetId="5">Histórico!$B$4:$B$4</definedName>
    <definedName name="c.c">[1]COMBSIC!#REF!</definedName>
    <definedName name="FpEpa">#REF!</definedName>
    <definedName name="VPCOMGpa">#REF!</definedName>
    <definedName name="VPCOMLpa">#REF!</definedName>
    <definedName name="VPGIEpa">#REF!</definedName>
    <definedName name="VPIGpa">#REF!</definedName>
    <definedName name="VPILpa">#REF!</definedName>
    <definedName name="VPRGpa">#REF!</definedName>
    <definedName name="VPRLp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9" i="28" l="1"/>
  <c r="I59" i="28"/>
  <c r="J59" i="28"/>
  <c r="K59" i="28"/>
  <c r="H60" i="28"/>
  <c r="I60" i="28"/>
  <c r="J60" i="28"/>
  <c r="K60" i="28"/>
  <c r="H61" i="28"/>
  <c r="I61" i="28"/>
  <c r="J61" i="28"/>
  <c r="K61" i="28"/>
  <c r="H62" i="28"/>
  <c r="I62" i="28"/>
  <c r="J62" i="28"/>
  <c r="K62" i="28"/>
  <c r="H63" i="28"/>
  <c r="I63" i="28"/>
  <c r="J63" i="28"/>
  <c r="K63" i="28"/>
  <c r="H53" i="28"/>
  <c r="I53" i="28"/>
  <c r="J53" i="28"/>
  <c r="K53" i="28"/>
  <c r="H54" i="28"/>
  <c r="I54" i="28"/>
  <c r="J54" i="28"/>
  <c r="K54" i="28"/>
  <c r="H55" i="28"/>
  <c r="I55" i="28"/>
  <c r="J55" i="28"/>
  <c r="K55" i="28"/>
  <c r="H56" i="28"/>
  <c r="I56" i="28"/>
  <c r="J56" i="28"/>
  <c r="K56" i="28"/>
  <c r="H57" i="28"/>
  <c r="I57" i="28"/>
  <c r="J57" i="28"/>
  <c r="K57" i="28"/>
  <c r="H58" i="28"/>
  <c r="I58" i="28"/>
  <c r="J58" i="28"/>
  <c r="K58" i="28"/>
  <c r="D22" i="25"/>
  <c r="V22" i="25"/>
  <c r="S129" i="24" s="1"/>
  <c r="N22" i="25"/>
  <c r="N129" i="24" s="1"/>
  <c r="G22" i="25"/>
  <c r="F22" i="25"/>
  <c r="E22" i="25"/>
  <c r="V21" i="25"/>
  <c r="S128" i="24" s="1"/>
  <c r="N21" i="25"/>
  <c r="N128" i="24" s="1"/>
  <c r="G21" i="25"/>
  <c r="F21" i="25"/>
  <c r="E21" i="25"/>
  <c r="D21" i="25"/>
  <c r="K52" i="28"/>
  <c r="J52" i="28"/>
  <c r="I52" i="28"/>
  <c r="H52" i="28"/>
  <c r="K51" i="28"/>
  <c r="J51" i="28"/>
  <c r="I51" i="28"/>
  <c r="H51" i="28"/>
  <c r="K50" i="28"/>
  <c r="J50" i="28"/>
  <c r="I50" i="28"/>
  <c r="H50" i="28"/>
  <c r="V20" i="25"/>
  <c r="S127" i="24" s="1"/>
  <c r="N20" i="25"/>
  <c r="N127" i="24" s="1"/>
  <c r="G20" i="25"/>
  <c r="F20" i="25"/>
  <c r="E20" i="25"/>
  <c r="D20" i="25"/>
  <c r="V19" i="25"/>
  <c r="S126" i="24" s="1"/>
  <c r="N19" i="25"/>
  <c r="N126" i="24" s="1"/>
  <c r="G19" i="25"/>
  <c r="F19" i="25"/>
  <c r="E19" i="25"/>
  <c r="D19" i="25"/>
  <c r="R9" i="28"/>
  <c r="Q9" i="28"/>
  <c r="P9" i="28"/>
  <c r="O9" i="28"/>
  <c r="V18" i="25"/>
  <c r="V17" i="25"/>
  <c r="N18" i="25"/>
  <c r="N17" i="25"/>
  <c r="T21" i="25" l="1"/>
  <c r="T22" i="25"/>
  <c r="I22" i="25"/>
  <c r="S22" i="25"/>
  <c r="L22" i="25"/>
  <c r="Q22" i="25"/>
  <c r="J22" i="25"/>
  <c r="K22" i="25"/>
  <c r="R22" i="25"/>
  <c r="L20" i="25"/>
  <c r="Q21" i="25"/>
  <c r="S21" i="25"/>
  <c r="I21" i="25"/>
  <c r="J21" i="25"/>
  <c r="K21" i="25"/>
  <c r="L21" i="25"/>
  <c r="R21" i="25"/>
  <c r="K20" i="25"/>
  <c r="I20" i="25"/>
  <c r="J20" i="25"/>
  <c r="S20" i="25"/>
  <c r="T20" i="25"/>
  <c r="Q20" i="25"/>
  <c r="R20" i="25"/>
  <c r="I19" i="25"/>
  <c r="L19" i="25"/>
  <c r="S19" i="25"/>
  <c r="K19" i="25"/>
  <c r="T19" i="25"/>
  <c r="Q19" i="25"/>
  <c r="R19" i="25"/>
  <c r="J19" i="25"/>
  <c r="S125" i="24"/>
  <c r="N125" i="24"/>
  <c r="G18" i="25"/>
  <c r="F18" i="25"/>
  <c r="E18" i="25"/>
  <c r="D18" i="25"/>
  <c r="K49" i="28"/>
  <c r="J49" i="28"/>
  <c r="I49" i="28"/>
  <c r="H49" i="28"/>
  <c r="K48" i="28"/>
  <c r="J48" i="28"/>
  <c r="I48" i="28"/>
  <c r="H48" i="28"/>
  <c r="K47" i="28"/>
  <c r="J47" i="28"/>
  <c r="I47" i="28"/>
  <c r="H47" i="28"/>
  <c r="K46" i="28"/>
  <c r="J46" i="28"/>
  <c r="I46" i="28"/>
  <c r="H46" i="28"/>
  <c r="S124" i="24"/>
  <c r="N124" i="24"/>
  <c r="G17" i="25"/>
  <c r="F17" i="25"/>
  <c r="E17" i="25"/>
  <c r="D17" i="25"/>
  <c r="S123" i="24"/>
  <c r="N123" i="24"/>
  <c r="G16" i="25"/>
  <c r="F16" i="25"/>
  <c r="E16" i="25"/>
  <c r="D16" i="25"/>
  <c r="N15" i="25"/>
  <c r="N122" i="24" s="1"/>
  <c r="E15" i="25"/>
  <c r="V15" i="25"/>
  <c r="S122" i="24" s="1"/>
  <c r="G15" i="25"/>
  <c r="F15" i="25"/>
  <c r="D15" i="25"/>
  <c r="H43" i="28"/>
  <c r="I43" i="28"/>
  <c r="J43" i="28"/>
  <c r="K43" i="28"/>
  <c r="H44" i="28"/>
  <c r="I44" i="28"/>
  <c r="J44" i="28"/>
  <c r="K44" i="28"/>
  <c r="H45" i="28"/>
  <c r="I45" i="28"/>
  <c r="J45" i="28"/>
  <c r="K45" i="28"/>
  <c r="M22" i="25" l="1"/>
  <c r="U22" i="25"/>
  <c r="U21" i="25"/>
  <c r="W21" i="25" s="1"/>
  <c r="M21" i="25"/>
  <c r="M20" i="25"/>
  <c r="O20" i="25" s="1"/>
  <c r="U20" i="25"/>
  <c r="M19" i="25"/>
  <c r="U19" i="25"/>
  <c r="S18" i="25"/>
  <c r="Q18" i="25"/>
  <c r="T18" i="25"/>
  <c r="L18" i="25"/>
  <c r="R18" i="25"/>
  <c r="I18" i="25"/>
  <c r="J18" i="25"/>
  <c r="K18" i="25"/>
  <c r="S17" i="25"/>
  <c r="T15" i="25"/>
  <c r="T16" i="25"/>
  <c r="Q17" i="25"/>
  <c r="T17" i="25"/>
  <c r="I16" i="25"/>
  <c r="I17" i="25"/>
  <c r="J17" i="25"/>
  <c r="K17" i="25"/>
  <c r="L17" i="25"/>
  <c r="R17" i="25"/>
  <c r="K15" i="25"/>
  <c r="S16" i="25"/>
  <c r="L16" i="25"/>
  <c r="K16" i="25"/>
  <c r="Q16" i="25"/>
  <c r="R16" i="25"/>
  <c r="J16" i="25"/>
  <c r="I15" i="25"/>
  <c r="L15" i="25"/>
  <c r="Q15" i="25"/>
  <c r="R15" i="25"/>
  <c r="S15" i="25"/>
  <c r="J15" i="25"/>
  <c r="V14" i="25"/>
  <c r="S121" i="24" s="1"/>
  <c r="N14" i="25"/>
  <c r="N121" i="24" s="1"/>
  <c r="G14" i="25"/>
  <c r="F14" i="25"/>
  <c r="E14" i="25"/>
  <c r="D14" i="25"/>
  <c r="D13" i="25"/>
  <c r="V13" i="25"/>
  <c r="S120" i="24" s="1"/>
  <c r="N13" i="25"/>
  <c r="N120" i="24" s="1"/>
  <c r="G13" i="25"/>
  <c r="F13" i="25"/>
  <c r="E13" i="25"/>
  <c r="E11" i="25"/>
  <c r="F12" i="25"/>
  <c r="E12" i="25"/>
  <c r="D12" i="25"/>
  <c r="G12" i="25"/>
  <c r="N12" i="25"/>
  <c r="N119" i="24" s="1"/>
  <c r="V12" i="25"/>
  <c r="S119" i="24" s="1"/>
  <c r="K42" i="28"/>
  <c r="J42" i="28"/>
  <c r="I42" i="28"/>
  <c r="H42" i="28"/>
  <c r="I11" i="25"/>
  <c r="N10" i="25"/>
  <c r="W22" i="25" l="1"/>
  <c r="T129" i="24"/>
  <c r="U129" i="24" s="1"/>
  <c r="O22" i="25"/>
  <c r="O129" i="24"/>
  <c r="P129" i="24" s="1"/>
  <c r="T128" i="24"/>
  <c r="U128" i="24" s="1"/>
  <c r="O21" i="25"/>
  <c r="O128" i="24"/>
  <c r="P128" i="24" s="1"/>
  <c r="W20" i="25"/>
  <c r="T127" i="24"/>
  <c r="U127" i="24" s="1"/>
  <c r="O127" i="24"/>
  <c r="P127" i="24" s="1"/>
  <c r="W19" i="25"/>
  <c r="T126" i="24"/>
  <c r="U126" i="24" s="1"/>
  <c r="O19" i="25"/>
  <c r="O126" i="24"/>
  <c r="P126" i="24" s="1"/>
  <c r="U18" i="25"/>
  <c r="W18" i="25" s="1"/>
  <c r="M18" i="25"/>
  <c r="U17" i="25"/>
  <c r="W17" i="25" s="1"/>
  <c r="M17" i="25"/>
  <c r="M15" i="25"/>
  <c r="O15" i="25" s="1"/>
  <c r="M16" i="25"/>
  <c r="O123" i="24" s="1"/>
  <c r="P123" i="24" s="1"/>
  <c r="U16" i="25"/>
  <c r="U15" i="25"/>
  <c r="L13" i="25"/>
  <c r="T14" i="25"/>
  <c r="I14" i="25"/>
  <c r="J14" i="25"/>
  <c r="Q13" i="25"/>
  <c r="J13" i="25"/>
  <c r="L14" i="25"/>
  <c r="K14" i="25"/>
  <c r="Q14" i="25"/>
  <c r="R14" i="25"/>
  <c r="S14" i="25"/>
  <c r="R13" i="25"/>
  <c r="I13" i="25"/>
  <c r="S13" i="25"/>
  <c r="K13" i="25"/>
  <c r="T13" i="25"/>
  <c r="R12" i="25"/>
  <c r="Q12" i="25"/>
  <c r="T12" i="25"/>
  <c r="I12" i="25"/>
  <c r="L12" i="25"/>
  <c r="K12" i="25"/>
  <c r="S12" i="25"/>
  <c r="J12" i="25"/>
  <c r="J118" i="24"/>
  <c r="D11" i="25"/>
  <c r="K41" i="28"/>
  <c r="J41" i="28"/>
  <c r="I41" i="28"/>
  <c r="H41" i="28"/>
  <c r="K40" i="28"/>
  <c r="J40" i="28"/>
  <c r="I40" i="28"/>
  <c r="H40" i="28"/>
  <c r="G11" i="25"/>
  <c r="F11" i="25"/>
  <c r="AF10" i="26"/>
  <c r="D5" i="25"/>
  <c r="E5" i="25"/>
  <c r="F5" i="25"/>
  <c r="G5" i="25"/>
  <c r="N5" i="25"/>
  <c r="V5" i="25"/>
  <c r="D6" i="25"/>
  <c r="E6" i="25"/>
  <c r="F6" i="25"/>
  <c r="G6" i="25"/>
  <c r="N6" i="25"/>
  <c r="D7" i="25"/>
  <c r="E7" i="25"/>
  <c r="F7" i="25"/>
  <c r="G7" i="25"/>
  <c r="N7" i="25"/>
  <c r="D8" i="25"/>
  <c r="E8" i="25"/>
  <c r="F8" i="25"/>
  <c r="G8" i="25"/>
  <c r="N8" i="25"/>
  <c r="D9" i="25"/>
  <c r="E9" i="25"/>
  <c r="F9" i="25"/>
  <c r="G9" i="25"/>
  <c r="N9" i="25"/>
  <c r="D10" i="25"/>
  <c r="E10" i="25"/>
  <c r="F10" i="25"/>
  <c r="G10" i="25"/>
  <c r="N117" i="24"/>
  <c r="T125" i="24" l="1"/>
  <c r="U125" i="24" s="1"/>
  <c r="O18" i="25"/>
  <c r="O125" i="24"/>
  <c r="P125" i="24" s="1"/>
  <c r="T124" i="24"/>
  <c r="U124" i="24" s="1"/>
  <c r="O17" i="25"/>
  <c r="O124" i="24"/>
  <c r="P124" i="24" s="1"/>
  <c r="O122" i="24"/>
  <c r="P122" i="24" s="1"/>
  <c r="O16" i="25"/>
  <c r="W16" i="25"/>
  <c r="T123" i="24"/>
  <c r="U123" i="24" s="1"/>
  <c r="W15" i="25"/>
  <c r="T122" i="24"/>
  <c r="U122" i="24" s="1"/>
  <c r="M14" i="25"/>
  <c r="O14" i="25" s="1"/>
  <c r="U14" i="25"/>
  <c r="U13" i="25"/>
  <c r="W13" i="25" s="1"/>
  <c r="M13" i="25"/>
  <c r="U12" i="25"/>
  <c r="W12" i="25" s="1"/>
  <c r="M12" i="25"/>
  <c r="I10" i="25"/>
  <c r="L11" i="25"/>
  <c r="K11" i="25"/>
  <c r="Q11" i="25"/>
  <c r="R11" i="25"/>
  <c r="J11" i="25"/>
  <c r="S11" i="25"/>
  <c r="T11" i="25"/>
  <c r="I7" i="25"/>
  <c r="R7" i="25"/>
  <c r="R5" i="25"/>
  <c r="I5" i="25"/>
  <c r="T8" i="25"/>
  <c r="I6" i="25"/>
  <c r="I8" i="25"/>
  <c r="I9" i="25"/>
  <c r="L7" i="25"/>
  <c r="Q8" i="25"/>
  <c r="L6" i="25"/>
  <c r="Q9" i="25"/>
  <c r="K6" i="25"/>
  <c r="R8" i="25"/>
  <c r="J7" i="25"/>
  <c r="R6" i="25"/>
  <c r="Q7" i="25"/>
  <c r="T6" i="25"/>
  <c r="Q6" i="25"/>
  <c r="T5" i="25"/>
  <c r="J6" i="25"/>
  <c r="L9" i="25"/>
  <c r="S6" i="25"/>
  <c r="R9" i="25"/>
  <c r="Q5" i="25"/>
  <c r="AF11" i="26"/>
  <c r="AF12" i="26" s="1"/>
  <c r="V6" i="25"/>
  <c r="L5" i="25"/>
  <c r="T9" i="25"/>
  <c r="K9" i="25"/>
  <c r="K5" i="25"/>
  <c r="S9" i="25"/>
  <c r="J9" i="25"/>
  <c r="L8" i="25"/>
  <c r="S5" i="25"/>
  <c r="J5" i="25"/>
  <c r="K8" i="25"/>
  <c r="S8" i="25"/>
  <c r="J8" i="25"/>
  <c r="T7" i="25"/>
  <c r="K7" i="25"/>
  <c r="S7" i="25"/>
  <c r="H3" i="28"/>
  <c r="J3" i="28"/>
  <c r="K3" i="28"/>
  <c r="I3" i="28"/>
  <c r="O121" i="24" l="1"/>
  <c r="P121" i="24" s="1"/>
  <c r="W14" i="25"/>
  <c r="T121" i="24"/>
  <c r="U121" i="24" s="1"/>
  <c r="T120" i="24"/>
  <c r="U120" i="24" s="1"/>
  <c r="O13" i="25"/>
  <c r="O120" i="24"/>
  <c r="P120" i="24" s="1"/>
  <c r="O12" i="25"/>
  <c r="O119" i="24"/>
  <c r="P119" i="24" s="1"/>
  <c r="T119" i="24"/>
  <c r="U119" i="24" s="1"/>
  <c r="M11" i="25"/>
  <c r="U11" i="25"/>
  <c r="M6" i="25"/>
  <c r="O6" i="25" s="1"/>
  <c r="M7" i="25"/>
  <c r="O7" i="25" s="1"/>
  <c r="U6" i="25"/>
  <c r="W6" i="25" s="1"/>
  <c r="U8" i="25"/>
  <c r="U5" i="25"/>
  <c r="W5" i="25" s="1"/>
  <c r="U7" i="25"/>
  <c r="V7" i="25"/>
  <c r="AF13" i="26"/>
  <c r="V8" i="25"/>
  <c r="M5" i="25"/>
  <c r="O5" i="25" s="1"/>
  <c r="U9" i="25"/>
  <c r="M9" i="25"/>
  <c r="O9" i="25" s="1"/>
  <c r="M8" i="25"/>
  <c r="O8" i="25" s="1"/>
  <c r="Q10" i="25"/>
  <c r="I37" i="28"/>
  <c r="J31" i="28"/>
  <c r="H27" i="28"/>
  <c r="I21" i="28"/>
  <c r="J15" i="28"/>
  <c r="H11" i="28"/>
  <c r="R10" i="25"/>
  <c r="J39" i="28"/>
  <c r="H35" i="28"/>
  <c r="I29" i="28"/>
  <c r="J23" i="28"/>
  <c r="H19" i="28"/>
  <c r="I39" i="28"/>
  <c r="J33" i="28"/>
  <c r="H29" i="28"/>
  <c r="I23" i="28"/>
  <c r="J17" i="28"/>
  <c r="H13" i="28"/>
  <c r="H39" i="28"/>
  <c r="I33" i="28"/>
  <c r="J27" i="28"/>
  <c r="H23" i="28"/>
  <c r="I17" i="28"/>
  <c r="J11" i="28"/>
  <c r="J37" i="28"/>
  <c r="H33" i="28"/>
  <c r="I27" i="28"/>
  <c r="J21" i="28"/>
  <c r="H17" i="28"/>
  <c r="I11" i="28"/>
  <c r="H37" i="28"/>
  <c r="I31" i="28"/>
  <c r="J25" i="28"/>
  <c r="H21" i="28"/>
  <c r="I15" i="28"/>
  <c r="J9" i="28"/>
  <c r="J10" i="25"/>
  <c r="J35" i="28"/>
  <c r="H31" i="28"/>
  <c r="I25" i="28"/>
  <c r="J19" i="28"/>
  <c r="H15" i="28"/>
  <c r="I9" i="28"/>
  <c r="S10" i="25"/>
  <c r="I35" i="28"/>
  <c r="J29" i="28"/>
  <c r="H25" i="28"/>
  <c r="I19" i="28"/>
  <c r="J13" i="28"/>
  <c r="H9" i="28"/>
  <c r="K10" i="25"/>
  <c r="L10" i="25"/>
  <c r="T10" i="25"/>
  <c r="I13" i="28"/>
  <c r="K39" i="28"/>
  <c r="K37" i="28"/>
  <c r="K35" i="28"/>
  <c r="K33" i="28"/>
  <c r="K31" i="28"/>
  <c r="K29" i="28"/>
  <c r="K27" i="28"/>
  <c r="K25" i="28"/>
  <c r="K23" i="28"/>
  <c r="K21" i="28"/>
  <c r="K19" i="28"/>
  <c r="K17" i="28"/>
  <c r="K15" i="28"/>
  <c r="K13" i="28"/>
  <c r="K11" i="28"/>
  <c r="K9" i="28"/>
  <c r="K6" i="28"/>
  <c r="K4" i="28"/>
  <c r="J6" i="28"/>
  <c r="J4" i="28"/>
  <c r="I6" i="28"/>
  <c r="I4" i="28"/>
  <c r="H6" i="28"/>
  <c r="H4" i="28"/>
  <c r="K38" i="28"/>
  <c r="K36" i="28"/>
  <c r="K34" i="28"/>
  <c r="K32" i="28"/>
  <c r="K30" i="28"/>
  <c r="K28" i="28"/>
  <c r="K26" i="28"/>
  <c r="K24" i="28"/>
  <c r="K22" i="28"/>
  <c r="K20" i="28"/>
  <c r="K18" i="28"/>
  <c r="K16" i="28"/>
  <c r="K14" i="28"/>
  <c r="K12" i="28"/>
  <c r="K10" i="28"/>
  <c r="K8" i="28"/>
  <c r="K7" i="28"/>
  <c r="K5" i="28"/>
  <c r="J38" i="28"/>
  <c r="J36" i="28"/>
  <c r="J34" i="28"/>
  <c r="J32" i="28"/>
  <c r="J30" i="28"/>
  <c r="J28" i="28"/>
  <c r="J26" i="28"/>
  <c r="J24" i="28"/>
  <c r="J22" i="28"/>
  <c r="J20" i="28"/>
  <c r="J18" i="28"/>
  <c r="J16" i="28"/>
  <c r="J14" i="28"/>
  <c r="J12" i="28"/>
  <c r="J10" i="28"/>
  <c r="J8" i="28"/>
  <c r="J7" i="28"/>
  <c r="J5" i="28"/>
  <c r="I38" i="28"/>
  <c r="I36" i="28"/>
  <c r="I34" i="28"/>
  <c r="I32" i="28"/>
  <c r="I30" i="28"/>
  <c r="I28" i="28"/>
  <c r="I26" i="28"/>
  <c r="I24" i="28"/>
  <c r="I22" i="28"/>
  <c r="I20" i="28"/>
  <c r="I18" i="28"/>
  <c r="I16" i="28"/>
  <c r="I14" i="28"/>
  <c r="I12" i="28"/>
  <c r="I10" i="28"/>
  <c r="I8" i="28"/>
  <c r="I7" i="28"/>
  <c r="I5" i="28"/>
  <c r="H38" i="28"/>
  <c r="H36" i="28"/>
  <c r="H34" i="28"/>
  <c r="H32" i="28"/>
  <c r="H30" i="28"/>
  <c r="H28" i="28"/>
  <c r="H26" i="28"/>
  <c r="H24" i="28"/>
  <c r="H22" i="28"/>
  <c r="H20" i="28"/>
  <c r="H18" i="28"/>
  <c r="H16" i="28"/>
  <c r="H14" i="28"/>
  <c r="H12" i="28"/>
  <c r="H10" i="28"/>
  <c r="H8" i="28"/>
  <c r="H7" i="28"/>
  <c r="H5" i="28"/>
  <c r="T118" i="24" l="1"/>
  <c r="O118" i="24"/>
  <c r="W7" i="25"/>
  <c r="W8" i="25"/>
  <c r="V10" i="25"/>
  <c r="S117" i="24" s="1"/>
  <c r="V9" i="25"/>
  <c r="W9" i="25" s="1"/>
  <c r="U10" i="25"/>
  <c r="M10" i="25"/>
  <c r="W10" i="25" l="1"/>
  <c r="O10" i="25"/>
  <c r="O117" i="24"/>
  <c r="P117" i="24" s="1"/>
  <c r="T117" i="24"/>
  <c r="J6" i="24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J31" i="24" s="1"/>
  <c r="J32" i="24" s="1"/>
  <c r="J33" i="24" s="1"/>
  <c r="J34" i="24" s="1"/>
  <c r="J35" i="24" s="1"/>
  <c r="J36" i="24" s="1"/>
  <c r="J37" i="24" s="1"/>
  <c r="J38" i="24" s="1"/>
  <c r="J39" i="24" s="1"/>
  <c r="J40" i="24" s="1"/>
  <c r="J41" i="24" s="1"/>
  <c r="J42" i="24" s="1"/>
  <c r="J43" i="24" s="1"/>
  <c r="J44" i="24" s="1"/>
  <c r="J45" i="24" s="1"/>
  <c r="J46" i="24" s="1"/>
  <c r="J47" i="24" s="1"/>
  <c r="J48" i="24" s="1"/>
  <c r="J49" i="24" s="1"/>
  <c r="J50" i="24" s="1"/>
  <c r="J51" i="24" s="1"/>
  <c r="J52" i="24" s="1"/>
  <c r="J53" i="24" s="1"/>
  <c r="J54" i="24" s="1"/>
  <c r="J55" i="24" s="1"/>
  <c r="J56" i="24" s="1"/>
  <c r="J57" i="24" s="1"/>
  <c r="J58" i="24" s="1"/>
  <c r="J59" i="24" s="1"/>
  <c r="J60" i="24" s="1"/>
  <c r="J61" i="24" s="1"/>
  <c r="J62" i="24" s="1"/>
  <c r="J63" i="24" s="1"/>
  <c r="J64" i="24" s="1"/>
  <c r="J65" i="24" s="1"/>
  <c r="J66" i="24" s="1"/>
  <c r="J67" i="24" s="1"/>
  <c r="J68" i="24" s="1"/>
  <c r="J69" i="24" s="1"/>
  <c r="J70" i="24" s="1"/>
  <c r="J71" i="24" s="1"/>
  <c r="J72" i="24" s="1"/>
  <c r="J73" i="24" s="1"/>
  <c r="J74" i="24" s="1"/>
  <c r="J75" i="24" s="1"/>
  <c r="J76" i="24" s="1"/>
  <c r="J77" i="24" s="1"/>
  <c r="J78" i="24" s="1"/>
  <c r="J79" i="24" s="1"/>
  <c r="J80" i="24" s="1"/>
  <c r="J81" i="24" s="1"/>
  <c r="J82" i="24" s="1"/>
  <c r="J83" i="24" s="1"/>
  <c r="J84" i="24" s="1"/>
  <c r="J85" i="24" s="1"/>
  <c r="J86" i="24" s="1"/>
  <c r="J87" i="24" s="1"/>
  <c r="J88" i="24" s="1"/>
  <c r="J89" i="24" s="1"/>
  <c r="J90" i="24" s="1"/>
  <c r="J91" i="24" s="1"/>
  <c r="J92" i="24" s="1"/>
  <c r="J93" i="24" s="1"/>
  <c r="J94" i="24" s="1"/>
  <c r="J95" i="24" s="1"/>
  <c r="J96" i="24" s="1"/>
  <c r="J97" i="24" s="1"/>
  <c r="J98" i="24" s="1"/>
  <c r="J99" i="24" s="1"/>
  <c r="J100" i="24" s="1"/>
  <c r="J101" i="24" s="1"/>
  <c r="J102" i="24" s="1"/>
  <c r="J103" i="24" s="1"/>
  <c r="J104" i="24" s="1"/>
  <c r="J105" i="24" s="1"/>
  <c r="J106" i="24" s="1"/>
  <c r="J107" i="24" s="1"/>
  <c r="J108" i="24" s="1"/>
  <c r="J109" i="24" s="1"/>
  <c r="J110" i="24" s="1"/>
  <c r="J111" i="24" s="1"/>
  <c r="J112" i="24" s="1"/>
  <c r="J113" i="24" s="1"/>
  <c r="J114" i="24" s="1"/>
  <c r="J115" i="24" s="1"/>
  <c r="J116" i="24" s="1"/>
  <c r="B6" i="24"/>
  <c r="B7" i="24" s="1"/>
  <c r="B8" i="24" s="1"/>
  <c r="B9" i="24" s="1"/>
  <c r="B10" i="24" s="1"/>
  <c r="B11" i="24" s="1"/>
  <c r="B12" i="24" s="1"/>
  <c r="B13" i="24" s="1"/>
  <c r="B14" i="24" s="1"/>
  <c r="B15" i="24" s="1"/>
  <c r="B16" i="24" s="1"/>
  <c r="B17" i="24" s="1"/>
  <c r="B18" i="24" s="1"/>
  <c r="B19" i="24" s="1"/>
  <c r="B20" i="24" s="1"/>
  <c r="B21" i="24" s="1"/>
  <c r="B22" i="24" s="1"/>
  <c r="B23" i="24" s="1"/>
  <c r="B24" i="24" s="1"/>
  <c r="B25" i="24" s="1"/>
  <c r="B26" i="24" s="1"/>
  <c r="B27" i="24" s="1"/>
  <c r="B28" i="24" s="1"/>
  <c r="B29" i="24" s="1"/>
  <c r="B30" i="24" s="1"/>
  <c r="B31" i="24" s="1"/>
  <c r="B32" i="24" s="1"/>
  <c r="B33" i="24" s="1"/>
  <c r="B34" i="24" s="1"/>
  <c r="B35" i="24" s="1"/>
  <c r="B36" i="24" s="1"/>
  <c r="B37" i="24" s="1"/>
  <c r="B38" i="24" s="1"/>
  <c r="B39" i="24" s="1"/>
  <c r="B40" i="24" s="1"/>
  <c r="B41" i="24" s="1"/>
  <c r="B42" i="24" s="1"/>
  <c r="B43" i="24" s="1"/>
  <c r="B44" i="24" s="1"/>
  <c r="B45" i="24" s="1"/>
  <c r="B46" i="24" s="1"/>
  <c r="B47" i="24" s="1"/>
  <c r="B48" i="24" s="1"/>
  <c r="B49" i="24" s="1"/>
  <c r="B50" i="24" s="1"/>
  <c r="B51" i="24" s="1"/>
  <c r="B52" i="24" s="1"/>
  <c r="B53" i="24" s="1"/>
  <c r="B54" i="24" s="1"/>
  <c r="B55" i="24" s="1"/>
  <c r="B56" i="24" s="1"/>
  <c r="B57" i="24" s="1"/>
  <c r="B58" i="24" s="1"/>
  <c r="B59" i="24" s="1"/>
  <c r="B60" i="24" s="1"/>
  <c r="B61" i="24" s="1"/>
  <c r="B62" i="24" s="1"/>
  <c r="B63" i="24" s="1"/>
  <c r="B64" i="24" s="1"/>
  <c r="B65" i="24" s="1"/>
  <c r="B66" i="24" s="1"/>
  <c r="B67" i="24" s="1"/>
  <c r="B68" i="24" s="1"/>
  <c r="B69" i="24" s="1"/>
  <c r="B70" i="24" s="1"/>
  <c r="B71" i="24" s="1"/>
  <c r="B72" i="24" s="1"/>
  <c r="B73" i="24" s="1"/>
  <c r="B74" i="24" s="1"/>
  <c r="B75" i="24" s="1"/>
  <c r="B76" i="24" s="1"/>
  <c r="B77" i="24" s="1"/>
  <c r="B78" i="24" s="1"/>
  <c r="B79" i="24" s="1"/>
  <c r="B80" i="24" s="1"/>
  <c r="B81" i="24" s="1"/>
  <c r="B82" i="24" s="1"/>
  <c r="B83" i="24" s="1"/>
  <c r="B84" i="24" s="1"/>
  <c r="B85" i="24" s="1"/>
  <c r="B86" i="24" s="1"/>
  <c r="B87" i="24" s="1"/>
  <c r="N11" i="25" l="1"/>
  <c r="O11" i="25" s="1"/>
  <c r="U117" i="24"/>
  <c r="V11" i="25"/>
  <c r="W11" i="25" s="1"/>
  <c r="N118" i="24" l="1"/>
  <c r="P118" i="24" s="1"/>
  <c r="S118" i="24"/>
  <c r="U118" i="24" s="1"/>
</calcChain>
</file>

<file path=xl/sharedStrings.xml><?xml version="1.0" encoding="utf-8"?>
<sst xmlns="http://schemas.openxmlformats.org/spreadsheetml/2006/main" count="806" uniqueCount="130">
  <si>
    <t>IPC</t>
  </si>
  <si>
    <t>Web</t>
  </si>
  <si>
    <t>Observación</t>
  </si>
  <si>
    <t>www.ine.cl</t>
  </si>
  <si>
    <t>PPI</t>
  </si>
  <si>
    <t>www.bls.gov</t>
  </si>
  <si>
    <t>DOL</t>
  </si>
  <si>
    <t>www.bcentral.cl</t>
  </si>
  <si>
    <t>Índices de precios al consumidor publicado por el INE para el segundo mes anterior al cual se aplique la indexación.</t>
  </si>
  <si>
    <t>PPIturb</t>
  </si>
  <si>
    <t>Barra</t>
  </si>
  <si>
    <t>Pbo</t>
  </si>
  <si>
    <t>SING</t>
  </si>
  <si>
    <t>Lagunas</t>
  </si>
  <si>
    <t>Diego de Almagro</t>
  </si>
  <si>
    <t>Polpaico</t>
  </si>
  <si>
    <t>Variación</t>
  </si>
  <si>
    <t>DOLi/DOLo</t>
  </si>
  <si>
    <t>PPIturbi/PPIturbo</t>
  </si>
  <si>
    <t>PPIi/PPIo</t>
  </si>
  <si>
    <t>IPCi/IPCo</t>
  </si>
  <si>
    <t>Índice</t>
  </si>
  <si>
    <t>Mes</t>
  </si>
  <si>
    <t>(*) Definición de parámetros de indexación conforme a lo establecido en los puntos de los siguientes decretos:</t>
  </si>
  <si>
    <t>Fijación</t>
  </si>
  <si>
    <t>Decreto 107/2012</t>
  </si>
  <si>
    <t>Decreto 4T/2013</t>
  </si>
  <si>
    <t>Decreto 9T/2013</t>
  </si>
  <si>
    <t>Tensión [kV]</t>
  </si>
  <si>
    <t>Precio Potencia de Fijación [$/kW/mes]</t>
  </si>
  <si>
    <t>Pbi [$/kW/mes]</t>
  </si>
  <si>
    <t>Resolución Exenta N°68/2014 y N°110/2014</t>
  </si>
  <si>
    <t>Decreto 1T/2014</t>
  </si>
  <si>
    <t>Resolución Exenta N°462/2014</t>
  </si>
  <si>
    <t>Decreto 10T/2014</t>
  </si>
  <si>
    <t>1.2 "Fórmulas de indexación" del Artículo Primero del Decreto N° 107/2012 del Ministerio de Energía</t>
  </si>
  <si>
    <t>1.2 "Fórmulas de indexación" del Artículo Primero del Decreto N° 4T/2013 del Ministerio de Energía</t>
  </si>
  <si>
    <t>1.2 "Fórmulas de indexación" del Artículo Primero del Decreto N° 9T/2013 del Ministerio de Energía</t>
  </si>
  <si>
    <t>1.2 "Fórmulas de indexación" del Artículo Primero del Decreto N° 1T/2014 del Ministerio de Energía</t>
  </si>
  <si>
    <t>1.2 "Fórmulas de indexación" del Artículo Primero del Decreto N° 10T/2014 del Ministerio de Energía</t>
  </si>
  <si>
    <t>1.2 "Fórmulas de indexación" del Artículo Primero del Decreto N° 14T/2015 del Ministerio de Energía</t>
  </si>
  <si>
    <t>Decreto 14T/2015</t>
  </si>
  <si>
    <t>1.2 "Fórmulas de indexación" del Artículo Primero del Decreto N° 17T/2015 del Ministerio de Energía</t>
  </si>
  <si>
    <t>Decreto 17T/2015</t>
  </si>
  <si>
    <t>Decreto 17T/2016</t>
  </si>
  <si>
    <t>Decreto 5T/2016</t>
  </si>
  <si>
    <t>1.2 "Fórmulas de indexación" del Artículo Primero del Decreto N° 5T/2016 del Ministerio de Energía</t>
  </si>
  <si>
    <t>1.2 "Fórmulas de indexación" del Artículo Primero del Decreto N° 2T/2017 del Ministerio de Energía</t>
  </si>
  <si>
    <t>Nogales</t>
  </si>
  <si>
    <t>Cardones</t>
  </si>
  <si>
    <t>Decreto 2T/2017</t>
  </si>
  <si>
    <t>Valor promedio del tipo de cambio observado del dólar EEUU del segundo mes anterior al que aplique la indexación, publicado por el Banco Central.</t>
  </si>
  <si>
    <t>Producer Price IndexIndustry Data: Turbine &amp; Turbine Generator Set UnitMfg publicados por el Bureau of Labor Statistics (www.bls.gov, pcu333611333611) correspondiente al séptimo mes anterior al cual se aplique la indexación.</t>
  </si>
  <si>
    <t>Producer Price Index - Commodities publicados por el Bureau of Labor Statistics (www.bls.gov, WPU00000000) correspondiente al séptimo mes anterior al cual se aplique la indexación.</t>
  </si>
  <si>
    <t>Resolución Exenta N°488/2017</t>
  </si>
  <si>
    <t>Decreto 5T/2017</t>
  </si>
  <si>
    <t>Puerto Montt</t>
  </si>
  <si>
    <t>Resolución Exenta N°110/2018</t>
  </si>
  <si>
    <t>Decreto 1T/2018</t>
  </si>
  <si>
    <t>1.2 "Fórmulas de indexación" del Artículo Primero del Decreto N° 1T/2018 del Ministerio de Energía</t>
  </si>
  <si>
    <t>Decreto 12T/2018</t>
  </si>
  <si>
    <t>Resolución Exenta N°177/2019</t>
  </si>
  <si>
    <t>1.2 "Fórmulas de indexación" del Artículo Primero del Decreto N° 12T/2018 del Ministerio de Energía</t>
  </si>
  <si>
    <t>Decreto 1T/2019</t>
  </si>
  <si>
    <t>Decreto 9T/2019</t>
  </si>
  <si>
    <t>(*) Hasta octubre de 2019, corresponde al Subsistema Norte del SIC</t>
  </si>
  <si>
    <t>(**) Hasta octubre de 2019, correspondeal Subsistema Centro Sur del SIC</t>
  </si>
  <si>
    <t>Subsistema Centro - Norte (*)</t>
  </si>
  <si>
    <t>Subsistema Sur (**)</t>
  </si>
  <si>
    <t>Decreto 2T/2020</t>
  </si>
  <si>
    <t>Decreto 12T/2020</t>
  </si>
  <si>
    <t>1.2 "Fórmulas de indexación" del Artículo Primero del Decreto N° 1T/2019 del Ministerio de Energía</t>
  </si>
  <si>
    <t>1.2 "Fórmulas de indexación" del Artículo Primero del Decreto N° 9T/2019 del Ministerio de Energía</t>
  </si>
  <si>
    <t>1.2 "Fórmulas de indexación" del Artículo Primero del Decreto N° 2T/2020 del Ministerio de Energía</t>
  </si>
  <si>
    <t>1.2 "Fórmulas de indexación" del Artículo Primero del Decreto N° 12T/2020 del Ministerio de Energía</t>
  </si>
  <si>
    <t>Decreto 3T/2021</t>
  </si>
  <si>
    <t>1.2 "Fórmulas de indexación" del Artículo Primero del Decreto N° 3T/2021 del Ministerio de Energía</t>
  </si>
  <si>
    <t>Costo fijo</t>
  </si>
  <si>
    <t>LTT</t>
  </si>
  <si>
    <t xml:space="preserve">SE </t>
  </si>
  <si>
    <t>Central Generadora</t>
  </si>
  <si>
    <t>IPC (m-2)</t>
  </si>
  <si>
    <t>PPI (m-7)</t>
  </si>
  <si>
    <t>PPIturb (m-7)</t>
  </si>
  <si>
    <t>Dólar (m-2)</t>
  </si>
  <si>
    <t>Valor fijación ($/kW/mes)</t>
  </si>
  <si>
    <t>Componentes indexados en US$/KW</t>
  </si>
  <si>
    <t>Coef IPC</t>
  </si>
  <si>
    <t>Coef PPI</t>
  </si>
  <si>
    <t>Pbo (US$/kW)</t>
  </si>
  <si>
    <t>Coef PPIturb</t>
  </si>
  <si>
    <t>Costo financiero</t>
  </si>
  <si>
    <t>FRCLT</t>
  </si>
  <si>
    <t>FRCSE</t>
  </si>
  <si>
    <t>FRCTG</t>
  </si>
  <si>
    <t>1+FP</t>
  </si>
  <si>
    <t>1+MRT</t>
  </si>
  <si>
    <t>PBPOT $/kW/mes</t>
  </si>
  <si>
    <t>Línea de Transmisión</t>
  </si>
  <si>
    <t>Subestación</t>
  </si>
  <si>
    <t>Coeficientes Subsistema SUR (Subsistema Puerto Montt)</t>
  </si>
  <si>
    <t>COEFICIENTES DE POTENCIA</t>
  </si>
  <si>
    <t>http://www.cne.cl/tarificacion/electricidad/precios-de-nudo-de-corto-plazo</t>
  </si>
  <si>
    <t>Indexación de costos fijos de operación</t>
  </si>
  <si>
    <t>Indexación de subestación y línea de transmisión</t>
  </si>
  <si>
    <t>Indexación central generadora</t>
  </si>
  <si>
    <t>Fórmula de Precio Básico de la Potencia de Punta</t>
  </si>
  <si>
    <t>Ppot</t>
  </si>
  <si>
    <t>PbPot</t>
  </si>
  <si>
    <t>Dólar</t>
  </si>
  <si>
    <t>Fecha Base</t>
  </si>
  <si>
    <t>Redondeo</t>
  </si>
  <si>
    <t>Indexadores Base</t>
  </si>
  <si>
    <t>Otros Parámetros</t>
  </si>
  <si>
    <t>Variación (%)</t>
  </si>
  <si>
    <t>mes (m)</t>
  </si>
  <si>
    <t>Precio Potencia indexado Pbi ($/kW/mes)</t>
  </si>
  <si>
    <t xml:space="preserve">Índices de indexación </t>
  </si>
  <si>
    <t>(***) Publicación del Decreto en el Diario Oficial el 26 de febrero de 2022</t>
  </si>
  <si>
    <t>1.2 "Fórmulas de indexación" del Artículo Primero del Decreto N° 9T/2021 del Ministerio de Energía</t>
  </si>
  <si>
    <t>Decreto 9T/2021</t>
  </si>
  <si>
    <t>Decreto 9T/2021 indexado por RE N°117/2022</t>
  </si>
  <si>
    <t xml:space="preserve">Decreto 9T/2021 (***) indexado por RE N°117/2022 </t>
  </si>
  <si>
    <t>1.2 "Fórmulas de indexación" del Artículo Primero del Decreto N° 3T/2022 del Ministerio de Energía</t>
  </si>
  <si>
    <t>Coeficientes Subsistema NORTE (Subsistema Centro - Norte)</t>
  </si>
  <si>
    <t>Decreto 3T/2022</t>
  </si>
  <si>
    <t>Decreto 3T/2022 indexado por RE N°690/2022</t>
  </si>
  <si>
    <t>Decreto 11T/2022</t>
  </si>
  <si>
    <t>1.2 "Fórmulas de indexación" del Artículo Primero del Decreto N° 11T/2022 del Ministerio de Energía</t>
  </si>
  <si>
    <t>Decreto 11T/2022 indexado por RE N°866/2022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</si>
</sst>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* #,##0.00_);_(* \(#,##0.00\);_(* &quot;-&quot;??_);_(@_)"/>
    <numFmt numFmtId="165" formatCode="_ * #,##0_ ;_ * \-#,##0_ ;_ * &quot;-&quot;_ ;_ @_ "/>
    <numFmt numFmtId="166" formatCode="#,##0.0"/>
    <numFmt numFmtId="167" formatCode="_ * #,##0.00_ ;_ * \-#,##0.00_ ;_ * &quot;-&quot;_ ;_ @_ "/>
    <numFmt numFmtId="168" formatCode="_ * #,##0.000_ ;_ * \-#,##0.000_ ;_ * &quot;-&quot;_ ;_ @_ "/>
    <numFmt numFmtId="169" formatCode="0.00000"/>
    <numFmt numFmtId="170" formatCode="0.0%"/>
    <numFmt numFmtId="171" formatCode="_ * #,##0.0000_ ;_ * \-#,##0.0000_ ;_ * &quot;-&quot;_ ;_ @_ "/>
    <numFmt numFmtId="172" formatCode="_ * #,##0.00000_ ;_ * \-#,##0.00000_ ;_ * &quot;-&quot;_ ;_ @_ "/>
    <numFmt numFmtId="173" formatCode="#,##0.000"/>
    <numFmt numFmtId="174" formatCode="_ * #,##0.000000_ ;_ * \-#,##0.000000_ ;_ * &quot;-&quot;_ ;_ @_ 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theme="0" tint="-4.9989318521683403E-2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3">
    <xf numFmtId="0" fontId="0" fillId="0" borderId="0"/>
    <xf numFmtId="0" fontId="5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/>
    <xf numFmtId="9" fontId="2" fillId="0" borderId="0" applyFont="0" applyFill="0" applyBorder="0" applyAlignment="0" applyProtection="0"/>
    <xf numFmtId="0" fontId="8" fillId="0" borderId="60" applyNumberFormat="0" applyFill="0" applyAlignment="0" applyProtection="0"/>
    <xf numFmtId="0" fontId="9" fillId="0" borderId="61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9" borderId="62" applyNumberFormat="0" applyAlignment="0" applyProtection="0"/>
    <xf numFmtId="0" fontId="12" fillId="10" borderId="63" applyNumberFormat="0" applyAlignment="0" applyProtection="0"/>
    <xf numFmtId="0" fontId="13" fillId="10" borderId="62" applyNumberFormat="0" applyAlignment="0" applyProtection="0"/>
    <xf numFmtId="0" fontId="14" fillId="0" borderId="64" applyNumberFormat="0" applyFill="0" applyAlignment="0" applyProtection="0"/>
    <xf numFmtId="0" fontId="15" fillId="11" borderId="6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7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9" fillId="16" borderId="0" applyNumberFormat="0" applyBorder="0" applyAlignment="0" applyProtection="0"/>
    <xf numFmtId="0" fontId="19" fillId="20" borderId="0" applyNumberFormat="0" applyBorder="0" applyAlignment="0" applyProtection="0"/>
    <xf numFmtId="0" fontId="19" fillId="24" borderId="0" applyNumberFormat="0" applyBorder="0" applyAlignment="0" applyProtection="0"/>
    <xf numFmtId="0" fontId="19" fillId="28" borderId="0" applyNumberFormat="0" applyBorder="0" applyAlignment="0" applyProtection="0"/>
    <xf numFmtId="0" fontId="19" fillId="32" borderId="0" applyNumberFormat="0" applyBorder="0" applyAlignment="0" applyProtection="0"/>
    <xf numFmtId="0" fontId="19" fillId="36" borderId="0" applyNumberFormat="0" applyBorder="0" applyAlignment="0" applyProtection="0"/>
    <xf numFmtId="0" fontId="21" fillId="8" borderId="0" applyNumberFormat="0" applyBorder="0" applyAlignment="0" applyProtection="0"/>
    <xf numFmtId="0" fontId="1" fillId="12" borderId="66" applyNumberFormat="0" applyFont="0" applyAlignment="0" applyProtection="0"/>
    <xf numFmtId="0" fontId="20" fillId="0" borderId="0" applyNumberFormat="0" applyFill="0" applyBorder="0" applyAlignment="0" applyProtection="0"/>
    <xf numFmtId="0" fontId="22" fillId="0" borderId="0"/>
    <xf numFmtId="165" fontId="24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</cellStyleXfs>
  <cellXfs count="353">
    <xf numFmtId="0" fontId="0" fillId="0" borderId="0" xfId="0"/>
    <xf numFmtId="0" fontId="0" fillId="0" borderId="0" xfId="0" applyAlignment="1">
      <alignment horizontal="center"/>
    </xf>
    <xf numFmtId="17" fontId="2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3" fillId="0" borderId="6" xfId="2" applyBorder="1" applyAlignment="1" applyProtection="1">
      <alignment horizontal="center" vertical="center"/>
    </xf>
    <xf numFmtId="0" fontId="3" fillId="0" borderId="7" xfId="2" applyBorder="1" applyAlignment="1" applyProtection="1">
      <alignment horizontal="center" vertical="center"/>
    </xf>
    <xf numFmtId="0" fontId="2" fillId="0" borderId="0" xfId="0" applyFont="1"/>
    <xf numFmtId="4" fontId="0" fillId="0" borderId="8" xfId="0" applyNumberFormat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justify" wrapText="1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justify" wrapText="1"/>
    </xf>
    <xf numFmtId="0" fontId="0" fillId="0" borderId="12" xfId="0" applyBorder="1" applyAlignment="1">
      <alignment horizontal="center" vertical="center"/>
    </xf>
    <xf numFmtId="0" fontId="3" fillId="0" borderId="13" xfId="2" applyBorder="1" applyAlignment="1" applyProtection="1">
      <alignment horizontal="center" vertical="center" wrapText="1"/>
    </xf>
    <xf numFmtId="166" fontId="0" fillId="0" borderId="1" xfId="0" applyNumberFormat="1" applyBorder="1" applyAlignment="1">
      <alignment horizontal="center"/>
    </xf>
    <xf numFmtId="0" fontId="4" fillId="4" borderId="15" xfId="0" applyFont="1" applyFill="1" applyBorder="1" applyAlignment="1">
      <alignment horizontal="centerContinuous"/>
    </xf>
    <xf numFmtId="0" fontId="4" fillId="4" borderId="16" xfId="0" applyFont="1" applyFill="1" applyBorder="1" applyAlignment="1">
      <alignment horizontal="centerContinuous"/>
    </xf>
    <xf numFmtId="0" fontId="4" fillId="4" borderId="17" xfId="0" applyFont="1" applyFill="1" applyBorder="1" applyAlignment="1">
      <alignment horizontal="centerContinuous"/>
    </xf>
    <xf numFmtId="164" fontId="0" fillId="0" borderId="1" xfId="3" applyFont="1" applyFill="1" applyBorder="1" applyAlignment="1">
      <alignment horizontal="center"/>
    </xf>
    <xf numFmtId="164" fontId="0" fillId="0" borderId="18" xfId="3" applyFont="1" applyFill="1" applyBorder="1" applyAlignment="1">
      <alignment horizontal="center"/>
    </xf>
    <xf numFmtId="0" fontId="0" fillId="4" borderId="16" xfId="0" applyFill="1" applyBorder="1" applyAlignment="1">
      <alignment horizontal="centerContinuous"/>
    </xf>
    <xf numFmtId="0" fontId="4" fillId="3" borderId="20" xfId="0" applyFont="1" applyFill="1" applyBorder="1" applyAlignment="1">
      <alignment horizontal="center" vertical="center"/>
    </xf>
    <xf numFmtId="10" fontId="0" fillId="0" borderId="21" xfId="7" applyNumberFormat="1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Continuous"/>
    </xf>
    <xf numFmtId="0" fontId="0" fillId="4" borderId="19" xfId="0" applyFill="1" applyBorder="1" applyAlignment="1">
      <alignment horizontal="centerContinuous"/>
    </xf>
    <xf numFmtId="0" fontId="4" fillId="3" borderId="23" xfId="0" applyFont="1" applyFill="1" applyBorder="1" applyAlignment="1">
      <alignment horizontal="center" vertical="center"/>
    </xf>
    <xf numFmtId="17" fontId="2" fillId="0" borderId="24" xfId="0" applyNumberFormat="1" applyFont="1" applyBorder="1" applyAlignment="1">
      <alignment horizontal="center"/>
    </xf>
    <xf numFmtId="0" fontId="4" fillId="3" borderId="15" xfId="0" applyFont="1" applyFill="1" applyBorder="1" applyAlignment="1">
      <alignment horizontal="center" vertical="center"/>
    </xf>
    <xf numFmtId="17" fontId="2" fillId="0" borderId="25" xfId="0" applyNumberFormat="1" applyFont="1" applyBorder="1" applyAlignment="1">
      <alignment horizontal="center"/>
    </xf>
    <xf numFmtId="17" fontId="2" fillId="5" borderId="25" xfId="0" applyNumberFormat="1" applyFont="1" applyFill="1" applyBorder="1" applyAlignment="1">
      <alignment horizontal="center"/>
    </xf>
    <xf numFmtId="164" fontId="6" fillId="5" borderId="1" xfId="3" applyFont="1" applyFill="1" applyBorder="1" applyAlignment="1">
      <alignment horizontal="center"/>
    </xf>
    <xf numFmtId="164" fontId="6" fillId="5" borderId="18" xfId="3" applyFont="1" applyFill="1" applyBorder="1" applyAlignment="1">
      <alignment horizontal="center"/>
    </xf>
    <xf numFmtId="17" fontId="2" fillId="5" borderId="24" xfId="0" applyNumberFormat="1" applyFont="1" applyFill="1" applyBorder="1" applyAlignment="1">
      <alignment horizontal="center"/>
    </xf>
    <xf numFmtId="17" fontId="2" fillId="5" borderId="1" xfId="0" applyNumberFormat="1" applyFont="1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4" fontId="0" fillId="5" borderId="8" xfId="0" applyNumberFormat="1" applyFill="1" applyBorder="1" applyAlignment="1">
      <alignment horizontal="center"/>
    </xf>
    <xf numFmtId="166" fontId="0" fillId="5" borderId="1" xfId="0" applyNumberFormat="1" applyFill="1" applyBorder="1" applyAlignment="1">
      <alignment horizontal="center"/>
    </xf>
    <xf numFmtId="10" fontId="6" fillId="5" borderId="21" xfId="7" applyNumberFormat="1" applyFont="1" applyFill="1" applyBorder="1" applyAlignment="1">
      <alignment horizontal="center"/>
    </xf>
    <xf numFmtId="17" fontId="2" fillId="0" borderId="26" xfId="0" applyNumberFormat="1" applyFont="1" applyBorder="1" applyAlignment="1">
      <alignment horizontal="center"/>
    </xf>
    <xf numFmtId="164" fontId="0" fillId="0" borderId="27" xfId="3" applyFont="1" applyFill="1" applyBorder="1" applyAlignment="1">
      <alignment horizontal="center"/>
    </xf>
    <xf numFmtId="164" fontId="0" fillId="0" borderId="28" xfId="3" applyFont="1" applyFill="1" applyBorder="1" applyAlignment="1">
      <alignment horizontal="center"/>
    </xf>
    <xf numFmtId="17" fontId="2" fillId="0" borderId="30" xfId="0" applyNumberFormat="1" applyFont="1" applyBorder="1" applyAlignment="1">
      <alignment horizontal="center"/>
    </xf>
    <xf numFmtId="17" fontId="2" fillId="0" borderId="31" xfId="0" applyNumberFormat="1" applyFont="1" applyBorder="1" applyAlignment="1">
      <alignment horizontal="center"/>
    </xf>
    <xf numFmtId="164" fontId="2" fillId="0" borderId="32" xfId="3" applyFont="1" applyFill="1" applyBorder="1" applyAlignment="1">
      <alignment horizontal="center"/>
    </xf>
    <xf numFmtId="164" fontId="2" fillId="0" borderId="33" xfId="3" applyFont="1" applyFill="1" applyBorder="1" applyAlignment="1">
      <alignment horizontal="center"/>
    </xf>
    <xf numFmtId="17" fontId="2" fillId="0" borderId="35" xfId="0" applyNumberFormat="1" applyFont="1" applyBorder="1" applyAlignment="1">
      <alignment horizontal="center"/>
    </xf>
    <xf numFmtId="17" fontId="2" fillId="5" borderId="36" xfId="0" applyNumberFormat="1" applyFont="1" applyFill="1" applyBorder="1" applyAlignment="1">
      <alignment horizontal="center"/>
    </xf>
    <xf numFmtId="164" fontId="6" fillId="5" borderId="37" xfId="3" applyFont="1" applyFill="1" applyBorder="1" applyAlignment="1">
      <alignment horizontal="center"/>
    </xf>
    <xf numFmtId="164" fontId="6" fillId="5" borderId="38" xfId="3" applyFont="1" applyFill="1" applyBorder="1" applyAlignment="1">
      <alignment horizontal="center"/>
    </xf>
    <xf numFmtId="17" fontId="2" fillId="5" borderId="40" xfId="0" applyNumberFormat="1" applyFont="1" applyFill="1" applyBorder="1" applyAlignment="1">
      <alignment horizontal="center"/>
    </xf>
    <xf numFmtId="17" fontId="2" fillId="0" borderId="27" xfId="0" applyNumberFormat="1" applyFont="1" applyBorder="1" applyAlignment="1">
      <alignment horizontal="center"/>
    </xf>
    <xf numFmtId="17" fontId="2" fillId="0" borderId="32" xfId="0" applyNumberFormat="1" applyFont="1" applyBorder="1" applyAlignment="1">
      <alignment horizontal="center"/>
    </xf>
    <xf numFmtId="17" fontId="2" fillId="5" borderId="37" xfId="0" applyNumberFormat="1" applyFont="1" applyFill="1" applyBorder="1" applyAlignment="1">
      <alignment horizontal="center"/>
    </xf>
    <xf numFmtId="10" fontId="0" fillId="0" borderId="29" xfId="7" applyNumberFormat="1" applyFont="1" applyFill="1" applyBorder="1" applyAlignment="1">
      <alignment horizontal="center"/>
    </xf>
    <xf numFmtId="10" fontId="2" fillId="0" borderId="34" xfId="7" applyNumberFormat="1" applyFont="1" applyFill="1" applyBorder="1" applyAlignment="1">
      <alignment horizontal="center"/>
    </xf>
    <xf numFmtId="10" fontId="6" fillId="5" borderId="39" xfId="7" applyNumberFormat="1" applyFont="1" applyFill="1" applyBorder="1" applyAlignment="1">
      <alignment horizontal="center"/>
    </xf>
    <xf numFmtId="164" fontId="0" fillId="0" borderId="32" xfId="3" applyFont="1" applyFill="1" applyBorder="1" applyAlignment="1">
      <alignment horizontal="center"/>
    </xf>
    <xf numFmtId="164" fontId="0" fillId="0" borderId="33" xfId="3" applyFont="1" applyFill="1" applyBorder="1" applyAlignment="1">
      <alignment horizontal="center"/>
    </xf>
    <xf numFmtId="10" fontId="0" fillId="0" borderId="34" xfId="7" applyNumberFormat="1" applyFont="1" applyFill="1" applyBorder="1" applyAlignment="1">
      <alignment horizontal="center"/>
    </xf>
    <xf numFmtId="17" fontId="2" fillId="5" borderId="41" xfId="0" applyNumberFormat="1" applyFont="1" applyFill="1" applyBorder="1" applyAlignment="1">
      <alignment horizontal="center"/>
    </xf>
    <xf numFmtId="17" fontId="2" fillId="5" borderId="42" xfId="0" applyNumberFormat="1" applyFont="1" applyFill="1" applyBorder="1" applyAlignment="1">
      <alignment horizontal="center"/>
    </xf>
    <xf numFmtId="164" fontId="6" fillId="5" borderId="41" xfId="3" applyFont="1" applyFill="1" applyBorder="1" applyAlignment="1">
      <alignment horizontal="center"/>
    </xf>
    <xf numFmtId="10" fontId="6" fillId="5" borderId="43" xfId="7" applyNumberFormat="1" applyFont="1" applyFill="1" applyBorder="1" applyAlignment="1">
      <alignment horizontal="center"/>
    </xf>
    <xf numFmtId="164" fontId="6" fillId="5" borderId="44" xfId="3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10" fontId="2" fillId="0" borderId="32" xfId="7" applyNumberFormat="1" applyFont="1" applyFill="1" applyBorder="1" applyAlignment="1">
      <alignment horizontal="center"/>
    </xf>
    <xf numFmtId="10" fontId="6" fillId="5" borderId="1" xfId="7" applyNumberFormat="1" applyFont="1" applyFill="1" applyBorder="1" applyAlignment="1">
      <alignment horizontal="center"/>
    </xf>
    <xf numFmtId="10" fontId="0" fillId="0" borderId="1" xfId="7" applyNumberFormat="1" applyFont="1" applyFill="1" applyBorder="1" applyAlignment="1">
      <alignment horizontal="center"/>
    </xf>
    <xf numFmtId="10" fontId="6" fillId="5" borderId="37" xfId="7" applyNumberFormat="1" applyFont="1" applyFill="1" applyBorder="1" applyAlignment="1">
      <alignment horizontal="center"/>
    </xf>
    <xf numFmtId="10" fontId="0" fillId="0" borderId="32" xfId="7" applyNumberFormat="1" applyFont="1" applyFill="1" applyBorder="1" applyAlignment="1">
      <alignment horizontal="center"/>
    </xf>
    <xf numFmtId="10" fontId="0" fillId="0" borderId="27" xfId="7" applyNumberFormat="1" applyFont="1" applyFill="1" applyBorder="1" applyAlignment="1">
      <alignment horizontal="center"/>
    </xf>
    <xf numFmtId="17" fontId="2" fillId="5" borderId="45" xfId="0" applyNumberFormat="1" applyFont="1" applyFill="1" applyBorder="1" applyAlignment="1">
      <alignment horizontal="center"/>
    </xf>
    <xf numFmtId="10" fontId="6" fillId="5" borderId="41" xfId="7" applyNumberFormat="1" applyFont="1" applyFill="1" applyBorder="1" applyAlignment="1">
      <alignment horizontal="center"/>
    </xf>
    <xf numFmtId="17" fontId="2" fillId="0" borderId="37" xfId="0" applyNumberFormat="1" applyFont="1" applyBorder="1" applyAlignment="1">
      <alignment horizontal="center"/>
    </xf>
    <xf numFmtId="17" fontId="2" fillId="0" borderId="36" xfId="0" applyNumberFormat="1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164" fontId="0" fillId="0" borderId="37" xfId="3" applyFont="1" applyFill="1" applyBorder="1" applyAlignment="1">
      <alignment horizontal="center"/>
    </xf>
    <xf numFmtId="10" fontId="0" fillId="0" borderId="39" xfId="7" applyNumberFormat="1" applyFont="1" applyFill="1" applyBorder="1" applyAlignment="1">
      <alignment horizontal="center"/>
    </xf>
    <xf numFmtId="17" fontId="2" fillId="0" borderId="40" xfId="0" applyNumberFormat="1" applyFont="1" applyBorder="1" applyAlignment="1">
      <alignment horizontal="center"/>
    </xf>
    <xf numFmtId="164" fontId="0" fillId="0" borderId="38" xfId="3" applyFont="1" applyFill="1" applyBorder="1" applyAlignment="1">
      <alignment horizontal="center"/>
    </xf>
    <xf numFmtId="10" fontId="0" fillId="0" borderId="37" xfId="7" applyNumberFormat="1" applyFont="1" applyFill="1" applyBorder="1" applyAlignment="1">
      <alignment horizontal="center"/>
    </xf>
    <xf numFmtId="17" fontId="2" fillId="5" borderId="9" xfId="0" applyNumberFormat="1" applyFont="1" applyFill="1" applyBorder="1" applyAlignment="1">
      <alignment horizontal="center"/>
    </xf>
    <xf numFmtId="17" fontId="2" fillId="5" borderId="15" xfId="0" applyNumberFormat="1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164" fontId="6" fillId="5" borderId="9" xfId="3" applyFont="1" applyFill="1" applyBorder="1" applyAlignment="1">
      <alignment horizontal="center"/>
    </xf>
    <xf numFmtId="10" fontId="6" fillId="5" borderId="20" xfId="7" applyNumberFormat="1" applyFont="1" applyFill="1" applyBorder="1" applyAlignment="1">
      <alignment horizontal="center"/>
    </xf>
    <xf numFmtId="17" fontId="2" fillId="5" borderId="23" xfId="0" applyNumberFormat="1" applyFont="1" applyFill="1" applyBorder="1" applyAlignment="1">
      <alignment horizontal="center"/>
    </xf>
    <xf numFmtId="164" fontId="6" fillId="5" borderId="17" xfId="3" applyFont="1" applyFill="1" applyBorder="1" applyAlignment="1">
      <alignment horizontal="center"/>
    </xf>
    <xf numFmtId="10" fontId="6" fillId="5" borderId="9" xfId="7" applyNumberFormat="1" applyFont="1" applyFill="1" applyBorder="1" applyAlignment="1">
      <alignment horizontal="center"/>
    </xf>
    <xf numFmtId="164" fontId="6" fillId="0" borderId="1" xfId="3" applyFont="1" applyFill="1" applyBorder="1" applyAlignment="1">
      <alignment horizontal="center"/>
    </xf>
    <xf numFmtId="10" fontId="6" fillId="0" borderId="1" xfId="7" applyNumberFormat="1" applyFont="1" applyFill="1" applyBorder="1" applyAlignment="1">
      <alignment horizontal="center"/>
    </xf>
    <xf numFmtId="10" fontId="6" fillId="0" borderId="21" xfId="7" applyNumberFormat="1" applyFont="1" applyFill="1" applyBorder="1" applyAlignment="1">
      <alignment horizontal="center"/>
    </xf>
    <xf numFmtId="164" fontId="6" fillId="0" borderId="18" xfId="3" applyFont="1" applyFill="1" applyBorder="1" applyAlignment="1">
      <alignment horizontal="center"/>
    </xf>
    <xf numFmtId="164" fontId="7" fillId="5" borderId="1" xfId="3" applyFont="1" applyFill="1" applyBorder="1" applyAlignment="1">
      <alignment horizontal="center"/>
    </xf>
    <xf numFmtId="17" fontId="2" fillId="5" borderId="26" xfId="0" applyNumberFormat="1" applyFont="1" applyFill="1" applyBorder="1" applyAlignment="1">
      <alignment horizontal="center"/>
    </xf>
    <xf numFmtId="164" fontId="6" fillId="5" borderId="27" xfId="3" applyFont="1" applyFill="1" applyBorder="1" applyAlignment="1">
      <alignment horizontal="center"/>
    </xf>
    <xf numFmtId="164" fontId="6" fillId="5" borderId="28" xfId="3" applyFont="1" applyFill="1" applyBorder="1" applyAlignment="1">
      <alignment horizontal="center"/>
    </xf>
    <xf numFmtId="17" fontId="2" fillId="5" borderId="30" xfId="0" applyNumberFormat="1" applyFont="1" applyFill="1" applyBorder="1" applyAlignment="1">
      <alignment horizontal="center"/>
    </xf>
    <xf numFmtId="17" fontId="2" fillId="5" borderId="27" xfId="0" applyNumberFormat="1" applyFont="1" applyFill="1" applyBorder="1" applyAlignment="1">
      <alignment horizontal="center"/>
    </xf>
    <xf numFmtId="17" fontId="2" fillId="0" borderId="41" xfId="0" applyNumberFormat="1" applyFont="1" applyBorder="1" applyAlignment="1">
      <alignment horizontal="center"/>
    </xf>
    <xf numFmtId="164" fontId="0" fillId="0" borderId="41" xfId="3" applyFont="1" applyFill="1" applyBorder="1" applyAlignment="1">
      <alignment horizontal="center"/>
    </xf>
    <xf numFmtId="10" fontId="0" fillId="0" borderId="41" xfId="7" applyNumberFormat="1" applyFont="1" applyFill="1" applyBorder="1" applyAlignment="1">
      <alignment horizontal="center"/>
    </xf>
    <xf numFmtId="17" fontId="2" fillId="5" borderId="32" xfId="0" applyNumberFormat="1" applyFont="1" applyFill="1" applyBorder="1" applyAlignment="1">
      <alignment horizontal="center"/>
    </xf>
    <xf numFmtId="0" fontId="2" fillId="5" borderId="33" xfId="0" applyFont="1" applyFill="1" applyBorder="1" applyAlignment="1">
      <alignment horizontal="center"/>
    </xf>
    <xf numFmtId="164" fontId="7" fillId="5" borderId="32" xfId="3" applyFont="1" applyFill="1" applyBorder="1" applyAlignment="1">
      <alignment horizontal="center"/>
    </xf>
    <xf numFmtId="10" fontId="7" fillId="5" borderId="34" xfId="7" applyNumberFormat="1" applyFont="1" applyFill="1" applyBorder="1" applyAlignment="1">
      <alignment horizontal="center"/>
    </xf>
    <xf numFmtId="17" fontId="2" fillId="5" borderId="35" xfId="0" applyNumberFormat="1" applyFont="1" applyFill="1" applyBorder="1" applyAlignment="1">
      <alignment horizontal="center"/>
    </xf>
    <xf numFmtId="164" fontId="7" fillId="5" borderId="33" xfId="3" applyFont="1" applyFill="1" applyBorder="1" applyAlignment="1">
      <alignment horizontal="center"/>
    </xf>
    <xf numFmtId="10" fontId="7" fillId="5" borderId="32" xfId="7" applyNumberFormat="1" applyFont="1" applyFill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5" borderId="32" xfId="0" applyFont="1" applyFill="1" applyBorder="1" applyAlignment="1">
      <alignment horizontal="center"/>
    </xf>
    <xf numFmtId="0" fontId="2" fillId="0" borderId="14" xfId="0" applyFont="1" applyBorder="1" applyAlignment="1">
      <alignment horizontal="justify" wrapText="1"/>
    </xf>
    <xf numFmtId="17" fontId="2" fillId="0" borderId="45" xfId="0" applyNumberFormat="1" applyFont="1" applyBorder="1" applyAlignment="1">
      <alignment horizontal="center"/>
    </xf>
    <xf numFmtId="0" fontId="2" fillId="5" borderId="41" xfId="0" applyFont="1" applyFill="1" applyBorder="1" applyAlignment="1">
      <alignment horizontal="center"/>
    </xf>
    <xf numFmtId="164" fontId="7" fillId="5" borderId="41" xfId="3" applyFont="1" applyFill="1" applyBorder="1" applyAlignment="1">
      <alignment horizontal="center"/>
    </xf>
    <xf numFmtId="10" fontId="7" fillId="5" borderId="41" xfId="7" applyNumberFormat="1" applyFont="1" applyFill="1" applyBorder="1" applyAlignment="1">
      <alignment horizontal="center"/>
    </xf>
    <xf numFmtId="10" fontId="7" fillId="5" borderId="43" xfId="7" applyNumberFormat="1" applyFont="1" applyFill="1" applyBorder="1" applyAlignment="1">
      <alignment horizontal="center"/>
    </xf>
    <xf numFmtId="164" fontId="7" fillId="5" borderId="44" xfId="3" applyFont="1" applyFill="1" applyBorder="1" applyAlignment="1">
      <alignment horizontal="center"/>
    </xf>
    <xf numFmtId="0" fontId="2" fillId="5" borderId="27" xfId="0" applyFont="1" applyFill="1" applyBorder="1" applyAlignment="1">
      <alignment horizontal="center"/>
    </xf>
    <xf numFmtId="10" fontId="6" fillId="5" borderId="27" xfId="7" applyNumberFormat="1" applyFont="1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10" fontId="6" fillId="5" borderId="29" xfId="7" applyNumberFormat="1" applyFont="1" applyFill="1" applyBorder="1" applyAlignment="1">
      <alignment horizontal="center"/>
    </xf>
    <xf numFmtId="17" fontId="2" fillId="5" borderId="31" xfId="0" applyNumberFormat="1" applyFont="1" applyFill="1" applyBorder="1" applyAlignment="1">
      <alignment horizontal="center"/>
    </xf>
    <xf numFmtId="164" fontId="6" fillId="5" borderId="32" xfId="3" applyFont="1" applyFill="1" applyBorder="1" applyAlignment="1">
      <alignment horizontal="center"/>
    </xf>
    <xf numFmtId="164" fontId="6" fillId="5" borderId="33" xfId="3" applyFont="1" applyFill="1" applyBorder="1" applyAlignment="1">
      <alignment horizontal="center"/>
    </xf>
    <xf numFmtId="17" fontId="2" fillId="5" borderId="49" xfId="0" applyNumberFormat="1" applyFont="1" applyFill="1" applyBorder="1" applyAlignment="1">
      <alignment horizontal="center"/>
    </xf>
    <xf numFmtId="10" fontId="6" fillId="5" borderId="32" xfId="7" applyNumberFormat="1" applyFont="1" applyFill="1" applyBorder="1" applyAlignment="1">
      <alignment horizontal="center"/>
    </xf>
    <xf numFmtId="0" fontId="2" fillId="0" borderId="44" xfId="0" applyFont="1" applyBorder="1" applyAlignment="1">
      <alignment horizontal="center"/>
    </xf>
    <xf numFmtId="10" fontId="0" fillId="0" borderId="43" xfId="7" applyNumberFormat="1" applyFont="1" applyFill="1" applyBorder="1" applyAlignment="1">
      <alignment horizontal="center"/>
    </xf>
    <xf numFmtId="17" fontId="2" fillId="0" borderId="42" xfId="0" applyNumberFormat="1" applyFont="1" applyBorder="1" applyAlignment="1">
      <alignment horizontal="center"/>
    </xf>
    <xf numFmtId="164" fontId="0" fillId="0" borderId="44" xfId="3" applyFont="1" applyFill="1" applyBorder="1" applyAlignment="1">
      <alignment horizontal="center"/>
    </xf>
    <xf numFmtId="10" fontId="6" fillId="5" borderId="34" xfId="7" applyNumberFormat="1" applyFont="1" applyFill="1" applyBorder="1" applyAlignment="1">
      <alignment horizontal="center"/>
    </xf>
    <xf numFmtId="164" fontId="6" fillId="5" borderId="50" xfId="3" applyFont="1" applyFill="1" applyBorder="1" applyAlignment="1">
      <alignment horizontal="center"/>
    </xf>
    <xf numFmtId="0" fontId="2" fillId="5" borderId="49" xfId="0" applyFont="1" applyFill="1" applyBorder="1" applyAlignment="1">
      <alignment horizontal="center"/>
    </xf>
    <xf numFmtId="164" fontId="6" fillId="5" borderId="49" xfId="3" applyFont="1" applyFill="1" applyBorder="1" applyAlignment="1">
      <alignment horizontal="center"/>
    </xf>
    <xf numFmtId="10" fontId="6" fillId="5" borderId="49" xfId="7" applyNumberFormat="1" applyFont="1" applyFill="1" applyBorder="1" applyAlignment="1">
      <alignment horizontal="center"/>
    </xf>
    <xf numFmtId="0" fontId="2" fillId="5" borderId="52" xfId="0" applyFont="1" applyFill="1" applyBorder="1" applyAlignment="1">
      <alignment horizontal="center"/>
    </xf>
    <xf numFmtId="10" fontId="6" fillId="5" borderId="53" xfId="7" applyNumberFormat="1" applyFont="1" applyFill="1" applyBorder="1" applyAlignment="1">
      <alignment horizontal="center"/>
    </xf>
    <xf numFmtId="17" fontId="2" fillId="5" borderId="54" xfId="0" applyNumberFormat="1" applyFont="1" applyFill="1" applyBorder="1" applyAlignment="1">
      <alignment horizontal="center"/>
    </xf>
    <xf numFmtId="164" fontId="6" fillId="5" borderId="52" xfId="3" applyFont="1" applyFill="1" applyBorder="1" applyAlignment="1">
      <alignment horizontal="center"/>
    </xf>
    <xf numFmtId="164" fontId="6" fillId="0" borderId="41" xfId="3" applyFont="1" applyFill="1" applyBorder="1" applyAlignment="1">
      <alignment horizontal="center"/>
    </xf>
    <xf numFmtId="164" fontId="6" fillId="0" borderId="44" xfId="3" applyFont="1" applyFill="1" applyBorder="1" applyAlignment="1">
      <alignment horizontal="center"/>
    </xf>
    <xf numFmtId="10" fontId="6" fillId="0" borderId="43" xfId="7" applyNumberFormat="1" applyFont="1" applyFill="1" applyBorder="1" applyAlignment="1">
      <alignment horizontal="center"/>
    </xf>
    <xf numFmtId="10" fontId="6" fillId="0" borderId="41" xfId="7" applyNumberFormat="1" applyFont="1" applyFill="1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0" xfId="0" applyBorder="1" applyAlignment="1">
      <alignment horizontal="center"/>
    </xf>
    <xf numFmtId="17" fontId="2" fillId="3" borderId="57" xfId="0" applyNumberFormat="1" applyFont="1" applyFill="1" applyBorder="1" applyAlignment="1">
      <alignment horizontal="center"/>
    </xf>
    <xf numFmtId="164" fontId="6" fillId="3" borderId="46" xfId="3" applyFont="1" applyFill="1" applyBorder="1" applyAlignment="1">
      <alignment horizontal="center"/>
    </xf>
    <xf numFmtId="17" fontId="2" fillId="3" borderId="46" xfId="0" applyNumberFormat="1" applyFont="1" applyFill="1" applyBorder="1" applyAlignment="1">
      <alignment horizontal="center"/>
    </xf>
    <xf numFmtId="0" fontId="2" fillId="3" borderId="46" xfId="0" applyFont="1" applyFill="1" applyBorder="1" applyAlignment="1">
      <alignment horizontal="center"/>
    </xf>
    <xf numFmtId="10" fontId="6" fillId="3" borderId="52" xfId="7" applyNumberFormat="1" applyFont="1" applyFill="1" applyBorder="1" applyAlignment="1">
      <alignment horizontal="center"/>
    </xf>
    <xf numFmtId="17" fontId="2" fillId="3" borderId="51" xfId="0" applyNumberFormat="1" applyFont="1" applyFill="1" applyBorder="1" applyAlignment="1">
      <alignment horizontal="center"/>
    </xf>
    <xf numFmtId="164" fontId="6" fillId="3" borderId="0" xfId="3" applyFont="1" applyFill="1" applyBorder="1" applyAlignment="1">
      <alignment horizontal="center"/>
    </xf>
    <xf numFmtId="17" fontId="2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10" fontId="6" fillId="3" borderId="50" xfId="7" applyNumberFormat="1" applyFont="1" applyFill="1" applyBorder="1" applyAlignment="1">
      <alignment horizontal="center"/>
    </xf>
    <xf numFmtId="17" fontId="2" fillId="5" borderId="55" xfId="0" applyNumberFormat="1" applyFont="1" applyFill="1" applyBorder="1" applyAlignment="1">
      <alignment horizontal="center"/>
    </xf>
    <xf numFmtId="0" fontId="2" fillId="5" borderId="50" xfId="0" applyFont="1" applyFill="1" applyBorder="1" applyAlignment="1">
      <alignment horizontal="center"/>
    </xf>
    <xf numFmtId="164" fontId="6" fillId="5" borderId="55" xfId="3" applyFont="1" applyFill="1" applyBorder="1" applyAlignment="1">
      <alignment horizontal="center"/>
    </xf>
    <xf numFmtId="10" fontId="6" fillId="5" borderId="58" xfId="7" applyNumberFormat="1" applyFont="1" applyFill="1" applyBorder="1" applyAlignment="1">
      <alignment horizontal="center"/>
    </xf>
    <xf numFmtId="17" fontId="2" fillId="5" borderId="59" xfId="0" applyNumberFormat="1" applyFont="1" applyFill="1" applyBorder="1" applyAlignment="1">
      <alignment horizontal="center"/>
    </xf>
    <xf numFmtId="10" fontId="6" fillId="5" borderId="55" xfId="7" applyNumberFormat="1" applyFont="1" applyFill="1" applyBorder="1" applyAlignment="1">
      <alignment horizontal="center"/>
    </xf>
    <xf numFmtId="17" fontId="2" fillId="0" borderId="55" xfId="0" applyNumberFormat="1" applyFont="1" applyBorder="1" applyAlignment="1">
      <alignment horizontal="center"/>
    </xf>
    <xf numFmtId="164" fontId="6" fillId="0" borderId="55" xfId="3" applyFont="1" applyFill="1" applyBorder="1" applyAlignment="1">
      <alignment horizontal="center"/>
    </xf>
    <xf numFmtId="17" fontId="2" fillId="6" borderId="41" xfId="0" applyNumberFormat="1" applyFont="1" applyFill="1" applyBorder="1" applyAlignment="1">
      <alignment horizontal="center"/>
    </xf>
    <xf numFmtId="164" fontId="6" fillId="6" borderId="41" xfId="3" applyFont="1" applyFill="1" applyBorder="1" applyAlignment="1">
      <alignment horizontal="center"/>
    </xf>
    <xf numFmtId="0" fontId="2" fillId="0" borderId="50" xfId="0" applyFont="1" applyBorder="1" applyAlignment="1">
      <alignment horizontal="center"/>
    </xf>
    <xf numFmtId="10" fontId="6" fillId="0" borderId="58" xfId="7" applyNumberFormat="1" applyFont="1" applyFill="1" applyBorder="1" applyAlignment="1">
      <alignment horizontal="center"/>
    </xf>
    <xf numFmtId="17" fontId="2" fillId="0" borderId="59" xfId="0" applyNumberFormat="1" applyFont="1" applyBorder="1" applyAlignment="1">
      <alignment horizontal="center"/>
    </xf>
    <xf numFmtId="164" fontId="6" fillId="0" borderId="50" xfId="3" applyFont="1" applyFill="1" applyBorder="1" applyAlignment="1">
      <alignment horizontal="center"/>
    </xf>
    <xf numFmtId="10" fontId="6" fillId="0" borderId="55" xfId="7" applyNumberFormat="1" applyFont="1" applyFill="1" applyBorder="1" applyAlignment="1">
      <alignment horizontal="center"/>
    </xf>
    <xf numFmtId="164" fontId="6" fillId="0" borderId="37" xfId="3" applyFont="1" applyFill="1" applyBorder="1" applyAlignment="1">
      <alignment horizontal="center"/>
    </xf>
    <xf numFmtId="10" fontId="6" fillId="0" borderId="39" xfId="7" applyNumberFormat="1" applyFont="1" applyFill="1" applyBorder="1" applyAlignment="1">
      <alignment horizontal="center"/>
    </xf>
    <xf numFmtId="164" fontId="6" fillId="0" borderId="38" xfId="3" applyFont="1" applyFill="1" applyBorder="1" applyAlignment="1">
      <alignment horizontal="center"/>
    </xf>
    <xf numFmtId="10" fontId="6" fillId="0" borderId="37" xfId="7" applyNumberFormat="1" applyFont="1" applyFill="1" applyBorder="1" applyAlignment="1">
      <alignment horizontal="center"/>
    </xf>
    <xf numFmtId="17" fontId="2" fillId="6" borderId="1" xfId="0" applyNumberFormat="1" applyFont="1" applyFill="1" applyBorder="1" applyAlignment="1">
      <alignment horizontal="center"/>
    </xf>
    <xf numFmtId="164" fontId="6" fillId="6" borderId="1" xfId="3" applyFont="1" applyFill="1" applyBorder="1" applyAlignment="1">
      <alignment horizontal="center"/>
    </xf>
    <xf numFmtId="166" fontId="0" fillId="6" borderId="1" xfId="0" applyNumberForma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10" fontId="6" fillId="6" borderId="21" xfId="7" applyNumberFormat="1" applyFont="1" applyFill="1" applyBorder="1" applyAlignment="1">
      <alignment horizontal="center"/>
    </xf>
    <xf numFmtId="17" fontId="2" fillId="6" borderId="24" xfId="0" applyNumberFormat="1" applyFont="1" applyFill="1" applyBorder="1" applyAlignment="1">
      <alignment horizontal="center"/>
    </xf>
    <xf numFmtId="164" fontId="6" fillId="6" borderId="18" xfId="3" applyFont="1" applyFill="1" applyBorder="1" applyAlignment="1">
      <alignment horizontal="center"/>
    </xf>
    <xf numFmtId="10" fontId="6" fillId="6" borderId="1" xfId="7" applyNumberFormat="1" applyFont="1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4" fontId="0" fillId="6" borderId="8" xfId="0" applyNumberFormat="1" applyFill="1" applyBorder="1" applyAlignment="1">
      <alignment horizontal="center"/>
    </xf>
    <xf numFmtId="0" fontId="2" fillId="6" borderId="44" xfId="0" applyFont="1" applyFill="1" applyBorder="1" applyAlignment="1">
      <alignment horizontal="center"/>
    </xf>
    <xf numFmtId="10" fontId="6" fillId="6" borderId="43" xfId="7" applyNumberFormat="1" applyFont="1" applyFill="1" applyBorder="1" applyAlignment="1">
      <alignment horizontal="center"/>
    </xf>
    <xf numFmtId="17" fontId="2" fillId="6" borderId="42" xfId="0" applyNumberFormat="1" applyFont="1" applyFill="1" applyBorder="1" applyAlignment="1">
      <alignment horizontal="center"/>
    </xf>
    <xf numFmtId="164" fontId="6" fillId="6" borderId="44" xfId="3" applyFont="1" applyFill="1" applyBorder="1" applyAlignment="1">
      <alignment horizontal="center"/>
    </xf>
    <xf numFmtId="10" fontId="6" fillId="6" borderId="41" xfId="7" applyNumberFormat="1" applyFont="1" applyFill="1" applyBorder="1" applyAlignment="1">
      <alignment horizontal="center"/>
    </xf>
    <xf numFmtId="0" fontId="4" fillId="0" borderId="0" xfId="0" applyFont="1"/>
    <xf numFmtId="0" fontId="2" fillId="0" borderId="0" xfId="4"/>
    <xf numFmtId="0" fontId="2" fillId="0" borderId="0" xfId="4" applyAlignment="1">
      <alignment horizontal="center"/>
    </xf>
    <xf numFmtId="0" fontId="25" fillId="0" borderId="0" xfId="4" applyFont="1"/>
    <xf numFmtId="0" fontId="2" fillId="0" borderId="0" xfId="4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26" fillId="0" borderId="0" xfId="4" applyFont="1"/>
    <xf numFmtId="0" fontId="27" fillId="0" borderId="0" xfId="52" applyAlignment="1" applyProtection="1"/>
    <xf numFmtId="0" fontId="4" fillId="0" borderId="0" xfId="4" applyFont="1"/>
    <xf numFmtId="14" fontId="2" fillId="0" borderId="6" xfId="4" applyNumberFormat="1" applyBorder="1" applyAlignment="1">
      <alignment horizontal="center"/>
    </xf>
    <xf numFmtId="0" fontId="4" fillId="3" borderId="6" xfId="4" applyFont="1" applyFill="1" applyBorder="1" applyAlignment="1">
      <alignment horizontal="center" vertical="center"/>
    </xf>
    <xf numFmtId="0" fontId="4" fillId="3" borderId="6" xfId="4" applyFont="1" applyFill="1" applyBorder="1" applyAlignment="1">
      <alignment horizontal="center"/>
    </xf>
    <xf numFmtId="169" fontId="0" fillId="0" borderId="1" xfId="0" applyNumberFormat="1" applyBorder="1" applyAlignment="1">
      <alignment horizontal="center"/>
    </xf>
    <xf numFmtId="169" fontId="0" fillId="0" borderId="8" xfId="0" applyNumberFormat="1" applyBorder="1" applyAlignment="1">
      <alignment horizontal="center"/>
    </xf>
    <xf numFmtId="169" fontId="0" fillId="5" borderId="1" xfId="0" applyNumberFormat="1" applyFill="1" applyBorder="1" applyAlignment="1">
      <alignment horizontal="center"/>
    </xf>
    <xf numFmtId="169" fontId="0" fillId="5" borderId="8" xfId="0" applyNumberFormat="1" applyFill="1" applyBorder="1" applyAlignment="1">
      <alignment horizontal="center"/>
    </xf>
    <xf numFmtId="169" fontId="0" fillId="6" borderId="1" xfId="0" applyNumberFormat="1" applyFill="1" applyBorder="1" applyAlignment="1">
      <alignment horizontal="center"/>
    </xf>
    <xf numFmtId="169" fontId="0" fillId="6" borderId="8" xfId="0" applyNumberFormat="1" applyFill="1" applyBorder="1" applyAlignment="1">
      <alignment horizontal="center"/>
    </xf>
    <xf numFmtId="167" fontId="2" fillId="6" borderId="1" xfId="49" applyNumberFormat="1" applyFont="1" applyFill="1" applyBorder="1" applyAlignment="1">
      <alignment horizontal="center"/>
    </xf>
    <xf numFmtId="168" fontId="2" fillId="5" borderId="1" xfId="49" applyNumberFormat="1" applyFont="1" applyFill="1" applyBorder="1" applyAlignment="1">
      <alignment horizontal="center"/>
    </xf>
    <xf numFmtId="168" fontId="2" fillId="0" borderId="1" xfId="49" applyNumberFormat="1" applyFont="1" applyFill="1" applyBorder="1" applyAlignment="1">
      <alignment horizontal="center"/>
    </xf>
    <xf numFmtId="170" fontId="2" fillId="6" borderId="1" xfId="7" applyNumberFormat="1" applyFont="1" applyFill="1" applyBorder="1" applyAlignment="1">
      <alignment horizontal="center"/>
    </xf>
    <xf numFmtId="17" fontId="2" fillId="0" borderId="0" xfId="4" applyNumberFormat="1"/>
    <xf numFmtId="165" fontId="2" fillId="6" borderId="1" xfId="49" applyFont="1" applyFill="1" applyBorder="1" applyAlignment="1">
      <alignment horizontal="center"/>
    </xf>
    <xf numFmtId="167" fontId="2" fillId="5" borderId="1" xfId="49" applyNumberFormat="1" applyFont="1" applyFill="1" applyBorder="1" applyAlignment="1">
      <alignment horizontal="center"/>
    </xf>
    <xf numFmtId="165" fontId="2" fillId="5" borderId="1" xfId="49" applyFont="1" applyFill="1" applyBorder="1" applyAlignment="1">
      <alignment horizontal="center"/>
    </xf>
    <xf numFmtId="170" fontId="2" fillId="5" borderId="1" xfId="7" applyNumberFormat="1" applyFont="1" applyFill="1" applyBorder="1" applyAlignment="1">
      <alignment horizontal="center"/>
    </xf>
    <xf numFmtId="0" fontId="2" fillId="6" borderId="0" xfId="4" applyFill="1"/>
    <xf numFmtId="17" fontId="2" fillId="6" borderId="37" xfId="0" applyNumberFormat="1" applyFont="1" applyFill="1" applyBorder="1" applyAlignment="1">
      <alignment horizontal="center"/>
    </xf>
    <xf numFmtId="0" fontId="2" fillId="6" borderId="38" xfId="0" applyFont="1" applyFill="1" applyBorder="1" applyAlignment="1">
      <alignment horizontal="center"/>
    </xf>
    <xf numFmtId="164" fontId="6" fillId="6" borderId="37" xfId="3" applyFont="1" applyFill="1" applyBorder="1" applyAlignment="1">
      <alignment horizontal="center"/>
    </xf>
    <xf numFmtId="10" fontId="6" fillId="6" borderId="39" xfId="7" applyNumberFormat="1" applyFont="1" applyFill="1" applyBorder="1" applyAlignment="1">
      <alignment horizontal="center"/>
    </xf>
    <xf numFmtId="17" fontId="2" fillId="6" borderId="40" xfId="0" applyNumberFormat="1" applyFont="1" applyFill="1" applyBorder="1" applyAlignment="1">
      <alignment horizontal="center"/>
    </xf>
    <xf numFmtId="164" fontId="6" fillId="6" borderId="38" xfId="3" applyFont="1" applyFill="1" applyBorder="1" applyAlignment="1">
      <alignment horizontal="center"/>
    </xf>
    <xf numFmtId="10" fontId="6" fillId="6" borderId="37" xfId="7" applyNumberFormat="1" applyFont="1" applyFill="1" applyBorder="1" applyAlignment="1">
      <alignment horizontal="center"/>
    </xf>
    <xf numFmtId="0" fontId="4" fillId="5" borderId="49" xfId="0" applyFont="1" applyFill="1" applyBorder="1"/>
    <xf numFmtId="0" fontId="4" fillId="5" borderId="55" xfId="0" applyFont="1" applyFill="1" applyBorder="1"/>
    <xf numFmtId="0" fontId="4" fillId="5" borderId="47" xfId="0" applyFont="1" applyFill="1" applyBorder="1"/>
    <xf numFmtId="0" fontId="2" fillId="0" borderId="68" xfId="4" applyBorder="1" applyAlignment="1">
      <alignment horizontal="center" vertical="center"/>
    </xf>
    <xf numFmtId="0" fontId="2" fillId="5" borderId="70" xfId="4" applyFill="1" applyBorder="1" applyAlignment="1">
      <alignment horizontal="center" vertical="center"/>
    </xf>
    <xf numFmtId="0" fontId="2" fillId="5" borderId="69" xfId="4" applyFill="1" applyBorder="1" applyAlignment="1">
      <alignment horizontal="center" vertical="center"/>
    </xf>
    <xf numFmtId="2" fontId="2" fillId="0" borderId="6" xfId="4" applyNumberFormat="1" applyBorder="1"/>
    <xf numFmtId="0" fontId="4" fillId="3" borderId="56" xfId="4" applyFont="1" applyFill="1" applyBorder="1" applyAlignment="1">
      <alignment horizontal="center" vertical="center"/>
    </xf>
    <xf numFmtId="0" fontId="2" fillId="0" borderId="6" xfId="4" applyBorder="1" applyAlignment="1">
      <alignment horizontal="center" vertical="center"/>
    </xf>
    <xf numFmtId="167" fontId="2" fillId="0" borderId="1" xfId="49" applyNumberFormat="1" applyFont="1" applyFill="1" applyBorder="1" applyAlignment="1">
      <alignment horizontal="center"/>
    </xf>
    <xf numFmtId="171" fontId="2" fillId="0" borderId="1" xfId="49" applyNumberFormat="1" applyFont="1" applyFill="1" applyBorder="1" applyAlignment="1">
      <alignment horizontal="center"/>
    </xf>
    <xf numFmtId="171" fontId="2" fillId="5" borderId="1" xfId="49" applyNumberFormat="1" applyFont="1" applyFill="1" applyBorder="1" applyAlignment="1">
      <alignment horizontal="center"/>
    </xf>
    <xf numFmtId="172" fontId="2" fillId="0" borderId="1" xfId="49" applyNumberFormat="1" applyFont="1" applyFill="1" applyBorder="1" applyAlignment="1">
      <alignment horizontal="center"/>
    </xf>
    <xf numFmtId="172" fontId="2" fillId="5" borderId="1" xfId="49" applyNumberFormat="1" applyFont="1" applyFill="1" applyBorder="1" applyAlignment="1">
      <alignment horizontal="center"/>
    </xf>
    <xf numFmtId="168" fontId="2" fillId="6" borderId="1" xfId="49" applyNumberFormat="1" applyFont="1" applyFill="1" applyBorder="1" applyAlignment="1">
      <alignment horizontal="center"/>
    </xf>
    <xf numFmtId="17" fontId="29" fillId="5" borderId="41" xfId="0" applyNumberFormat="1" applyFont="1" applyFill="1" applyBorder="1" applyAlignment="1">
      <alignment horizontal="center"/>
    </xf>
    <xf numFmtId="170" fontId="2" fillId="5" borderId="41" xfId="7" applyNumberFormat="1" applyFont="1" applyFill="1" applyBorder="1" applyAlignment="1">
      <alignment horizontal="center"/>
    </xf>
    <xf numFmtId="170" fontId="2" fillId="0" borderId="1" xfId="7" applyNumberFormat="1" applyFont="1" applyFill="1" applyBorder="1" applyAlignment="1">
      <alignment horizontal="center"/>
    </xf>
    <xf numFmtId="170" fontId="0" fillId="0" borderId="1" xfId="7" applyNumberFormat="1" applyFont="1" applyFill="1" applyBorder="1" applyAlignment="1">
      <alignment horizontal="center"/>
    </xf>
    <xf numFmtId="167" fontId="2" fillId="5" borderId="41" xfId="49" applyNumberFormat="1" applyFont="1" applyFill="1" applyBorder="1" applyAlignment="1">
      <alignment horizontal="center"/>
    </xf>
    <xf numFmtId="168" fontId="2" fillId="5" borderId="41" xfId="49" applyNumberFormat="1" applyFont="1" applyFill="1" applyBorder="1" applyAlignment="1">
      <alignment horizontal="center"/>
    </xf>
    <xf numFmtId="165" fontId="2" fillId="5" borderId="41" xfId="49" applyFont="1" applyFill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3" fontId="0" fillId="5" borderId="1" xfId="0" applyNumberFormat="1" applyFill="1" applyBorder="1" applyAlignment="1">
      <alignment horizontal="center"/>
    </xf>
    <xf numFmtId="170" fontId="2" fillId="0" borderId="0" xfId="7" applyNumberFormat="1"/>
    <xf numFmtId="167" fontId="2" fillId="6" borderId="41" xfId="49" applyNumberFormat="1" applyFont="1" applyFill="1" applyBorder="1" applyAlignment="1">
      <alignment horizontal="center"/>
    </xf>
    <xf numFmtId="168" fontId="2" fillId="6" borderId="41" xfId="49" applyNumberFormat="1" applyFont="1" applyFill="1" applyBorder="1" applyAlignment="1">
      <alignment horizontal="center"/>
    </xf>
    <xf numFmtId="165" fontId="2" fillId="6" borderId="41" xfId="49" applyFont="1" applyFill="1" applyBorder="1" applyAlignment="1">
      <alignment horizontal="center"/>
    </xf>
    <xf numFmtId="170" fontId="2" fillId="6" borderId="41" xfId="7" applyNumberFormat="1" applyFont="1" applyFill="1" applyBorder="1" applyAlignment="1">
      <alignment horizontal="center"/>
    </xf>
    <xf numFmtId="170" fontId="0" fillId="0" borderId="41" xfId="7" applyNumberFormat="1" applyFont="1" applyFill="1" applyBorder="1" applyAlignment="1">
      <alignment horizontal="center"/>
    </xf>
    <xf numFmtId="0" fontId="2" fillId="0" borderId="32" xfId="4" applyBorder="1" applyAlignment="1">
      <alignment horizontal="center" vertical="center"/>
    </xf>
    <xf numFmtId="0" fontId="2" fillId="5" borderId="1" xfId="4" applyFill="1" applyBorder="1" applyAlignment="1">
      <alignment horizontal="center" vertical="center"/>
    </xf>
    <xf numFmtId="0" fontId="2" fillId="0" borderId="1" xfId="4" applyBorder="1" applyAlignment="1">
      <alignment horizontal="center" vertical="center"/>
    </xf>
    <xf numFmtId="0" fontId="2" fillId="5" borderId="27" xfId="4" applyFill="1" applyBorder="1" applyAlignment="1">
      <alignment horizontal="center" vertical="center"/>
    </xf>
    <xf numFmtId="17" fontId="2" fillId="6" borderId="27" xfId="0" applyNumberFormat="1" applyFont="1" applyFill="1" applyBorder="1" applyAlignment="1">
      <alignment horizontal="center"/>
    </xf>
    <xf numFmtId="167" fontId="2" fillId="6" borderId="27" xfId="49" applyNumberFormat="1" applyFont="1" applyFill="1" applyBorder="1" applyAlignment="1">
      <alignment horizontal="center"/>
    </xf>
    <xf numFmtId="168" fontId="2" fillId="6" borderId="27" xfId="49" applyNumberFormat="1" applyFont="1" applyFill="1" applyBorder="1" applyAlignment="1">
      <alignment horizontal="center"/>
    </xf>
    <xf numFmtId="165" fontId="2" fillId="6" borderId="27" xfId="49" applyFont="1" applyFill="1" applyBorder="1" applyAlignment="1">
      <alignment horizontal="center"/>
    </xf>
    <xf numFmtId="167" fontId="0" fillId="6" borderId="27" xfId="49" applyNumberFormat="1" applyFont="1" applyFill="1" applyBorder="1" applyAlignment="1">
      <alignment horizontal="center"/>
    </xf>
    <xf numFmtId="170" fontId="0" fillId="6" borderId="27" xfId="7" applyNumberFormat="1" applyFont="1" applyFill="1" applyBorder="1" applyAlignment="1">
      <alignment horizontal="center"/>
    </xf>
    <xf numFmtId="165" fontId="0" fillId="6" borderId="27" xfId="49" applyFont="1" applyFill="1" applyBorder="1" applyAlignment="1">
      <alignment horizontal="center"/>
    </xf>
    <xf numFmtId="9" fontId="2" fillId="6" borderId="27" xfId="7" applyFont="1" applyFill="1" applyBorder="1" applyAlignment="1">
      <alignment horizontal="center"/>
    </xf>
    <xf numFmtId="167" fontId="2" fillId="0" borderId="32" xfId="49" applyNumberFormat="1" applyFont="1" applyFill="1" applyBorder="1" applyAlignment="1">
      <alignment horizontal="center"/>
    </xf>
    <xf numFmtId="172" fontId="2" fillId="0" borderId="32" xfId="49" applyNumberFormat="1" applyFont="1" applyFill="1" applyBorder="1" applyAlignment="1">
      <alignment horizontal="center"/>
    </xf>
    <xf numFmtId="168" fontId="2" fillId="0" borderId="32" xfId="49" applyNumberFormat="1" applyFont="1" applyFill="1" applyBorder="1" applyAlignment="1">
      <alignment horizontal="center"/>
    </xf>
    <xf numFmtId="171" fontId="2" fillId="0" borderId="32" xfId="49" applyNumberFormat="1" applyFont="1" applyFill="1" applyBorder="1" applyAlignment="1">
      <alignment horizontal="center"/>
    </xf>
    <xf numFmtId="167" fontId="0" fillId="5" borderId="1" xfId="49" applyNumberFormat="1" applyFont="1" applyFill="1" applyBorder="1" applyAlignment="1">
      <alignment horizontal="center"/>
    </xf>
    <xf numFmtId="170" fontId="0" fillId="5" borderId="1" xfId="7" applyNumberFormat="1" applyFont="1" applyFill="1" applyBorder="1" applyAlignment="1">
      <alignment horizontal="center"/>
    </xf>
    <xf numFmtId="165" fontId="0" fillId="5" borderId="1" xfId="49" applyFont="1" applyFill="1" applyBorder="1" applyAlignment="1">
      <alignment horizontal="center"/>
    </xf>
    <xf numFmtId="170" fontId="2" fillId="6" borderId="27" xfId="7" applyNumberFormat="1" applyFont="1" applyFill="1" applyBorder="1" applyAlignment="1">
      <alignment horizontal="center"/>
    </xf>
    <xf numFmtId="167" fontId="0" fillId="6" borderId="1" xfId="49" applyNumberFormat="1" applyFont="1" applyFill="1" applyBorder="1" applyAlignment="1">
      <alignment horizontal="center"/>
    </xf>
    <xf numFmtId="165" fontId="0" fillId="6" borderId="1" xfId="49" applyFont="1" applyFill="1" applyBorder="1" applyAlignment="1">
      <alignment horizontal="center"/>
    </xf>
    <xf numFmtId="9" fontId="2" fillId="6" borderId="1" xfId="7" applyFont="1" applyFill="1" applyBorder="1" applyAlignment="1">
      <alignment horizontal="center"/>
    </xf>
    <xf numFmtId="174" fontId="2" fillId="0" borderId="32" xfId="49" applyNumberFormat="1" applyFont="1" applyFill="1" applyBorder="1" applyAlignment="1">
      <alignment horizontal="center"/>
    </xf>
    <xf numFmtId="174" fontId="2" fillId="5" borderId="1" xfId="49" applyNumberFormat="1" applyFont="1" applyFill="1" applyBorder="1" applyAlignment="1">
      <alignment horizontal="center"/>
    </xf>
    <xf numFmtId="174" fontId="2" fillId="0" borderId="1" xfId="49" applyNumberFormat="1" applyFont="1" applyFill="1" applyBorder="1" applyAlignment="1">
      <alignment horizontal="center"/>
    </xf>
    <xf numFmtId="9" fontId="0" fillId="0" borderId="1" xfId="7" applyFont="1" applyFill="1" applyBorder="1" applyAlignment="1">
      <alignment horizontal="center"/>
    </xf>
    <xf numFmtId="0" fontId="2" fillId="5" borderId="71" xfId="4" applyFill="1" applyBorder="1" applyAlignment="1">
      <alignment horizontal="center" vertical="center"/>
    </xf>
    <xf numFmtId="0" fontId="2" fillId="5" borderId="72" xfId="4" applyFill="1" applyBorder="1" applyAlignment="1">
      <alignment horizontal="center" vertical="center"/>
    </xf>
    <xf numFmtId="170" fontId="0" fillId="6" borderId="1" xfId="7" applyNumberFormat="1" applyFont="1" applyFill="1" applyBorder="1" applyAlignment="1">
      <alignment horizontal="center"/>
    </xf>
    <xf numFmtId="167" fontId="2" fillId="5" borderId="32" xfId="49" applyNumberFormat="1" applyFont="1" applyFill="1" applyBorder="1" applyAlignment="1">
      <alignment horizontal="center"/>
    </xf>
    <xf numFmtId="168" fontId="2" fillId="5" borderId="32" xfId="49" applyNumberFormat="1" applyFont="1" applyFill="1" applyBorder="1" applyAlignment="1">
      <alignment horizontal="center"/>
    </xf>
    <xf numFmtId="165" fontId="2" fillId="5" borderId="32" xfId="49" applyFont="1" applyFill="1" applyBorder="1" applyAlignment="1">
      <alignment horizontal="center"/>
    </xf>
    <xf numFmtId="170" fontId="2" fillId="5" borderId="32" xfId="7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2" fontId="2" fillId="5" borderId="1" xfId="0" applyNumberFormat="1" applyFont="1" applyFill="1" applyBorder="1" applyAlignment="1">
      <alignment horizontal="center"/>
    </xf>
    <xf numFmtId="4" fontId="2" fillId="5" borderId="8" xfId="0" applyNumberFormat="1" applyFont="1" applyFill="1" applyBorder="1" applyAlignment="1">
      <alignment horizontal="center"/>
    </xf>
    <xf numFmtId="166" fontId="2" fillId="5" borderId="1" xfId="0" applyNumberFormat="1" applyFont="1" applyFill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73" fontId="31" fillId="0" borderId="1" xfId="0" applyNumberFormat="1" applyFont="1" applyBorder="1" applyAlignment="1">
      <alignment horizontal="center"/>
    </xf>
    <xf numFmtId="4" fontId="31" fillId="5" borderId="8" xfId="0" applyNumberFormat="1" applyFont="1" applyFill="1" applyBorder="1" applyAlignment="1">
      <alignment horizontal="center"/>
    </xf>
    <xf numFmtId="2" fontId="31" fillId="5" borderId="1" xfId="0" applyNumberFormat="1" applyFont="1" applyFill="1" applyBorder="1" applyAlignment="1">
      <alignment horizontal="center"/>
    </xf>
    <xf numFmtId="0" fontId="4" fillId="3" borderId="49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4" borderId="49" xfId="0" applyFont="1" applyFill="1" applyBorder="1" applyAlignment="1">
      <alignment horizontal="center" vertical="center" wrapText="1"/>
    </xf>
    <xf numFmtId="0" fontId="4" fillId="4" borderId="47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4" fillId="4" borderId="6" xfId="4" applyFont="1" applyFill="1" applyBorder="1" applyAlignment="1">
      <alignment horizontal="center"/>
    </xf>
    <xf numFmtId="0" fontId="4" fillId="4" borderId="6" xfId="4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/>
    </xf>
    <xf numFmtId="0" fontId="25" fillId="0" borderId="0" xfId="4" applyFont="1" applyAlignment="1">
      <alignment horizontal="center"/>
    </xf>
    <xf numFmtId="0" fontId="4" fillId="4" borderId="49" xfId="0" applyFont="1" applyFill="1" applyBorder="1" applyAlignment="1">
      <alignment horizontal="center" vertical="center"/>
    </xf>
    <xf numFmtId="0" fontId="4" fillId="4" borderId="47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57" xfId="0" applyFont="1" applyFill="1" applyBorder="1" applyAlignment="1">
      <alignment horizontal="center" vertical="center"/>
    </xf>
    <xf numFmtId="0" fontId="4" fillId="4" borderId="48" xfId="0" applyFont="1" applyFill="1" applyBorder="1" applyAlignment="1">
      <alignment horizontal="center" vertical="center"/>
    </xf>
    <xf numFmtId="0" fontId="2" fillId="5" borderId="73" xfId="4" applyFill="1" applyBorder="1" applyAlignment="1">
      <alignment horizontal="center" vertical="center"/>
    </xf>
    <xf numFmtId="167" fontId="2" fillId="5" borderId="37" xfId="49" applyNumberFormat="1" applyFont="1" applyFill="1" applyBorder="1" applyAlignment="1">
      <alignment horizontal="center"/>
    </xf>
    <xf numFmtId="172" fontId="2" fillId="5" borderId="37" xfId="49" applyNumberFormat="1" applyFont="1" applyFill="1" applyBorder="1" applyAlignment="1">
      <alignment horizontal="center"/>
    </xf>
    <xf numFmtId="168" fontId="2" fillId="5" borderId="37" xfId="49" applyNumberFormat="1" applyFont="1" applyFill="1" applyBorder="1" applyAlignment="1">
      <alignment horizontal="center"/>
    </xf>
    <xf numFmtId="171" fontId="2" fillId="5" borderId="37" xfId="49" applyNumberFormat="1" applyFont="1" applyFill="1" applyBorder="1" applyAlignment="1">
      <alignment horizontal="center"/>
    </xf>
    <xf numFmtId="0" fontId="2" fillId="5" borderId="74" xfId="4" applyFill="1" applyBorder="1" applyAlignment="1">
      <alignment horizontal="center" vertical="center"/>
    </xf>
    <xf numFmtId="174" fontId="2" fillId="5" borderId="37" xfId="49" applyNumberFormat="1" applyFont="1" applyFill="1" applyBorder="1" applyAlignment="1">
      <alignment horizontal="center"/>
    </xf>
    <xf numFmtId="167" fontId="2" fillId="6" borderId="37" xfId="49" applyNumberFormat="1" applyFont="1" applyFill="1" applyBorder="1" applyAlignment="1">
      <alignment horizontal="center"/>
    </xf>
    <xf numFmtId="168" fontId="2" fillId="6" borderId="37" xfId="49" applyNumberFormat="1" applyFont="1" applyFill="1" applyBorder="1" applyAlignment="1">
      <alignment horizontal="center"/>
    </xf>
    <xf numFmtId="165" fontId="2" fillId="6" borderId="37" xfId="49" applyFont="1" applyFill="1" applyBorder="1" applyAlignment="1">
      <alignment horizontal="center"/>
    </xf>
    <xf numFmtId="167" fontId="0" fillId="6" borderId="37" xfId="49" applyNumberFormat="1" applyFont="1" applyFill="1" applyBorder="1" applyAlignment="1">
      <alignment horizontal="center"/>
    </xf>
    <xf numFmtId="170" fontId="0" fillId="6" borderId="37" xfId="7" applyNumberFormat="1" applyFont="1" applyFill="1" applyBorder="1" applyAlignment="1">
      <alignment horizontal="center"/>
    </xf>
    <xf numFmtId="165" fontId="0" fillId="6" borderId="37" xfId="49" applyFont="1" applyFill="1" applyBorder="1" applyAlignment="1">
      <alignment horizontal="center"/>
    </xf>
    <xf numFmtId="170" fontId="2" fillId="6" borderId="37" xfId="7" applyNumberFormat="1" applyFont="1" applyFill="1" applyBorder="1" applyAlignment="1">
      <alignment horizontal="center"/>
    </xf>
  </cellXfs>
  <cellStyles count="53">
    <cellStyle name="20% - Énfasis1" xfId="21" builtinId="30" customBuiltin="1"/>
    <cellStyle name="20% - Énfasis2" xfId="24" builtinId="34" customBuiltin="1"/>
    <cellStyle name="20% - Énfasis3" xfId="27" builtinId="38" customBuiltin="1"/>
    <cellStyle name="20% - Énfasis4" xfId="30" builtinId="42" customBuiltin="1"/>
    <cellStyle name="20% - Énfasis5" xfId="33" builtinId="46" customBuiltin="1"/>
    <cellStyle name="20% - Énfasis6" xfId="36" builtinId="50" customBuiltin="1"/>
    <cellStyle name="40% - Énfasis1" xfId="22" builtinId="31" customBuiltin="1"/>
    <cellStyle name="40% - Énfasis2" xfId="25" builtinId="35" customBuiltin="1"/>
    <cellStyle name="40% - Énfasis3" xfId="28" builtinId="39" customBuiltin="1"/>
    <cellStyle name="40% - Énfasis4" xfId="31" builtinId="43" customBuiltin="1"/>
    <cellStyle name="40% - Énfasis5" xfId="34" builtinId="47" customBuiltin="1"/>
    <cellStyle name="40% - Énfasis6" xfId="37" builtinId="51" customBuiltin="1"/>
    <cellStyle name="60% - Énfasis1 2" xfId="39" xr:uid="{FB50919A-97B2-42D3-8C3E-C02A362DCD08}"/>
    <cellStyle name="60% - Énfasis2 2" xfId="40" xr:uid="{51555BEF-2A0B-4845-A462-2185A14F8B3E}"/>
    <cellStyle name="60% - Énfasis3 2" xfId="41" xr:uid="{746D7C86-5876-4DF1-A207-AF973C8CB11F}"/>
    <cellStyle name="60% - Énfasis4 2" xfId="42" xr:uid="{6811D401-08E1-499A-866A-DB25EF754D08}"/>
    <cellStyle name="60% - Énfasis5 2" xfId="43" xr:uid="{0260FC02-14EB-428F-A5A1-503F7DDCD75C}"/>
    <cellStyle name="60% - Énfasis6 2" xfId="44" xr:uid="{31264996-DC35-4B71-ADBA-3E6188E0455A}"/>
    <cellStyle name="A3 297 x 420 mm" xfId="1" xr:uid="{00000000-0005-0000-0000-000000000000}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4" xfId="10" builtinId="19" customBuiltin="1"/>
    <cellStyle name="Énfasis1" xfId="20" builtinId="29" customBuiltin="1"/>
    <cellStyle name="Énfasis2" xfId="23" builtinId="33" customBuiltin="1"/>
    <cellStyle name="Énfasis3" xfId="26" builtinId="37" customBuiltin="1"/>
    <cellStyle name="Énfasis4" xfId="29" builtinId="41" customBuiltin="1"/>
    <cellStyle name="Énfasis5" xfId="32" builtinId="45" customBuiltin="1"/>
    <cellStyle name="Énfasis6" xfId="35" builtinId="49" customBuiltin="1"/>
    <cellStyle name="Entrada" xfId="12" builtinId="20" customBuiltin="1"/>
    <cellStyle name="Hipervínculo" xfId="2" builtinId="8"/>
    <cellStyle name="Hipervínculo 2" xfId="52" xr:uid="{DDA94541-4F78-48E5-9770-7244FDC9B1E2}"/>
    <cellStyle name="Incorrecto" xfId="11" builtinId="27" customBuiltin="1"/>
    <cellStyle name="Millares" xfId="3" builtinId="3"/>
    <cellStyle name="Millares [0]" xfId="49" builtinId="6"/>
    <cellStyle name="Millares [0] 2" xfId="50" xr:uid="{DE8A809F-60DE-4482-9CAD-87ACD16E27E7}"/>
    <cellStyle name="Millares 2" xfId="51" xr:uid="{726C3B65-60B8-4ADE-898B-21349861A045}"/>
    <cellStyle name="Neutral 2" xfId="45" xr:uid="{DA7EEC49-392D-4FB3-A4A2-899B996839A8}"/>
    <cellStyle name="Normal" xfId="0" builtinId="0"/>
    <cellStyle name="Normal 2" xfId="4" xr:uid="{00000000-0005-0000-0000-000004000000}"/>
    <cellStyle name="Normal 2 2" xfId="5" xr:uid="{00000000-0005-0000-0000-000005000000}"/>
    <cellStyle name="Normal 3" xfId="6" xr:uid="{00000000-0005-0000-0000-000006000000}"/>
    <cellStyle name="Normal 4" xfId="38" xr:uid="{42CF5770-9B8F-4275-9EA7-1038B0F00BF3}"/>
    <cellStyle name="Normal 5" xfId="48" xr:uid="{F8FC38F8-84B2-429C-ABE9-980826246824}"/>
    <cellStyle name="Notas 2" xfId="46" xr:uid="{05C7827E-1A3B-446E-B978-E96C05390223}"/>
    <cellStyle name="Porcentaje" xfId="7" builtinId="5"/>
    <cellStyle name="Salida" xfId="13" builtinId="21" customBuiltin="1"/>
    <cellStyle name="Texto de advertencia" xfId="17" builtinId="11" customBuiltin="1"/>
    <cellStyle name="Texto explicativo" xfId="18" builtinId="53" customBuiltin="1"/>
    <cellStyle name="Título 2" xfId="8" builtinId="17" customBuiltin="1"/>
    <cellStyle name="Título 3" xfId="9" builtinId="18" customBuiltin="1"/>
    <cellStyle name="Título 4" xfId="47" xr:uid="{A513B014-5578-4C84-AB15-61D31E053F46}"/>
    <cellStyle name="Total" xfId="1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742950</xdr:colOff>
      <xdr:row>12</xdr:row>
      <xdr:rowOff>123825</xdr:rowOff>
    </xdr:from>
    <xdr:ext cx="5563376" cy="628738"/>
    <xdr:pic>
      <xdr:nvPicPr>
        <xdr:cNvPr id="2" name="Imagen 1">
          <a:extLst>
            <a:ext uri="{FF2B5EF4-FFF2-40B4-BE49-F238E27FC236}">
              <a16:creationId xmlns:a16="http://schemas.microsoft.com/office/drawing/2014/main" id="{194028F6-BB95-491A-AFC4-287B58BD1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2066925"/>
          <a:ext cx="5563376" cy="628738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21</xdr:row>
      <xdr:rowOff>0</xdr:rowOff>
    </xdr:from>
    <xdr:ext cx="4182059" cy="590632"/>
    <xdr:pic>
      <xdr:nvPicPr>
        <xdr:cNvPr id="3" name="Imagen 2">
          <a:extLst>
            <a:ext uri="{FF2B5EF4-FFF2-40B4-BE49-F238E27FC236}">
              <a16:creationId xmlns:a16="http://schemas.microsoft.com/office/drawing/2014/main" id="{53E7ECAB-5A87-4F83-9FD5-3CB5ECC5B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" y="3400425"/>
          <a:ext cx="4182059" cy="590632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</xdr:row>
      <xdr:rowOff>0</xdr:rowOff>
    </xdr:from>
    <xdr:ext cx="2124371" cy="571580"/>
    <xdr:pic>
      <xdr:nvPicPr>
        <xdr:cNvPr id="4" name="Imagen 3">
          <a:extLst>
            <a:ext uri="{FF2B5EF4-FFF2-40B4-BE49-F238E27FC236}">
              <a16:creationId xmlns:a16="http://schemas.microsoft.com/office/drawing/2014/main" id="{9CCE0C61-C026-4C83-AD39-F14C63B7F3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4533900"/>
          <a:ext cx="2124371" cy="571580"/>
        </a:xfrm>
        <a:prstGeom prst="rect">
          <a:avLst/>
        </a:prstGeom>
      </xdr:spPr>
    </xdr:pic>
    <xdr:clientData/>
  </xdr:oneCellAnchor>
  <xdr:twoCellAnchor editAs="oneCell">
    <xdr:from>
      <xdr:col>0</xdr:col>
      <xdr:colOff>704850</xdr:colOff>
      <xdr:row>3</xdr:row>
      <xdr:rowOff>133350</xdr:rowOff>
    </xdr:from>
    <xdr:to>
      <xdr:col>11</xdr:col>
      <xdr:colOff>734599</xdr:colOff>
      <xdr:row>8</xdr:row>
      <xdr:rowOff>152516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03EABEF-09D9-4ECF-BF76-58E4A06B9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04850" y="619125"/>
          <a:ext cx="8411749" cy="8287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_hartung-p2/nudo_octubre_2007/Indexacion/2004-10Oct/Index-PNOct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BSIC"/>
      <sheetName val="BLS"/>
      <sheetName val="Claves BLS"/>
      <sheetName val="FECHA"/>
      <sheetName val="Dólar"/>
      <sheetName val="CHE"/>
      <sheetName val="INE"/>
      <sheetName val="CPI"/>
      <sheetName val="FEPP"/>
      <sheetName val="FEPP_Combustibles"/>
      <sheetName val="COMBUSTIBLES"/>
      <sheetName val="Comb_SIC"/>
      <sheetName val="Index-Potencia_SIC"/>
      <sheetName val="Index-Energía_SIC"/>
      <sheetName val="Index-Potencia_SING"/>
      <sheetName val="Index-Energía_SING"/>
      <sheetName val="Index-Potencia_AYSEN"/>
      <sheetName val="Index-Energía_AYSEN"/>
      <sheetName val="Index-Potencia_MAGALL"/>
      <sheetName val="Index-Energía_MAGALL"/>
      <sheetName val="Resumen"/>
      <sheetName val="Resumen Ayse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central.cl/" TargetMode="External"/><Relationship Id="rId2" Type="http://schemas.openxmlformats.org/officeDocument/2006/relationships/hyperlink" Target="http://www.bls.gov/" TargetMode="External"/><Relationship Id="rId1" Type="http://schemas.openxmlformats.org/officeDocument/2006/relationships/hyperlink" Target="http://www.ine.cl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bls.gov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ne.cl/tarificacion/electricidad/precios-de-nudo-de-corto-plazo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D28"/>
  <sheetViews>
    <sheetView showGridLines="0" workbookViewId="0">
      <selection activeCell="C28" sqref="C28"/>
    </sheetView>
  </sheetViews>
  <sheetFormatPr baseColWidth="10" defaultRowHeight="12.75" x14ac:dyDescent="0.2"/>
  <cols>
    <col min="1" max="1" width="2.85546875" customWidth="1"/>
    <col min="2" max="2" width="15.42578125" bestFit="1" customWidth="1"/>
    <col min="3" max="3" width="15.28515625" customWidth="1"/>
    <col min="4" max="4" width="61.7109375" bestFit="1" customWidth="1"/>
    <col min="5" max="5" width="2.85546875" customWidth="1"/>
  </cols>
  <sheetData>
    <row r="1" spans="2:4" ht="13.5" thickBot="1" x14ac:dyDescent="0.25"/>
    <row r="2" spans="2:4" ht="13.5" thickBot="1" x14ac:dyDescent="0.25">
      <c r="B2" s="4" t="s">
        <v>21</v>
      </c>
      <c r="C2" s="5" t="s">
        <v>1</v>
      </c>
      <c r="D2" s="6" t="s">
        <v>2</v>
      </c>
    </row>
    <row r="3" spans="2:4" ht="38.25" x14ac:dyDescent="0.2">
      <c r="B3" s="17" t="s">
        <v>6</v>
      </c>
      <c r="C3" s="18" t="s">
        <v>7</v>
      </c>
      <c r="D3" s="129" t="s">
        <v>51</v>
      </c>
    </row>
    <row r="4" spans="2:4" ht="25.5" x14ac:dyDescent="0.2">
      <c r="B4" s="7" t="s">
        <v>0</v>
      </c>
      <c r="C4" s="8" t="s">
        <v>3</v>
      </c>
      <c r="D4" s="13" t="s">
        <v>8</v>
      </c>
    </row>
    <row r="5" spans="2:4" ht="51" x14ac:dyDescent="0.2">
      <c r="B5" s="14" t="s">
        <v>9</v>
      </c>
      <c r="C5" s="8" t="s">
        <v>5</v>
      </c>
      <c r="D5" s="13" t="s">
        <v>52</v>
      </c>
    </row>
    <row r="6" spans="2:4" ht="39" thickBot="1" x14ac:dyDescent="0.25">
      <c r="B6" s="15" t="s">
        <v>4</v>
      </c>
      <c r="C6" s="9" t="s">
        <v>5</v>
      </c>
      <c r="D6" s="16" t="s">
        <v>53</v>
      </c>
    </row>
    <row r="7" spans="2:4" ht="7.5" customHeight="1" x14ac:dyDescent="0.2"/>
    <row r="8" spans="2:4" ht="7.5" customHeight="1" x14ac:dyDescent="0.2"/>
    <row r="9" spans="2:4" x14ac:dyDescent="0.2">
      <c r="B9" s="10" t="s">
        <v>23</v>
      </c>
    </row>
    <row r="10" spans="2:4" x14ac:dyDescent="0.2">
      <c r="B10" s="10" t="s">
        <v>35</v>
      </c>
    </row>
    <row r="11" spans="2:4" x14ac:dyDescent="0.2">
      <c r="B11" s="10" t="s">
        <v>36</v>
      </c>
    </row>
    <row r="12" spans="2:4" x14ac:dyDescent="0.2">
      <c r="B12" s="10" t="s">
        <v>37</v>
      </c>
    </row>
    <row r="13" spans="2:4" x14ac:dyDescent="0.2">
      <c r="B13" s="10" t="s">
        <v>38</v>
      </c>
    </row>
    <row r="14" spans="2:4" x14ac:dyDescent="0.2">
      <c r="B14" s="10" t="s">
        <v>39</v>
      </c>
    </row>
    <row r="15" spans="2:4" x14ac:dyDescent="0.2">
      <c r="B15" s="10" t="s">
        <v>40</v>
      </c>
    </row>
    <row r="16" spans="2:4" x14ac:dyDescent="0.2">
      <c r="B16" s="10" t="s">
        <v>42</v>
      </c>
    </row>
    <row r="17" spans="2:2" x14ac:dyDescent="0.2">
      <c r="B17" s="10" t="s">
        <v>46</v>
      </c>
    </row>
    <row r="18" spans="2:2" x14ac:dyDescent="0.2">
      <c r="B18" s="10" t="s">
        <v>47</v>
      </c>
    </row>
    <row r="19" spans="2:2" x14ac:dyDescent="0.2">
      <c r="B19" s="10" t="s">
        <v>59</v>
      </c>
    </row>
    <row r="20" spans="2:2" x14ac:dyDescent="0.2">
      <c r="B20" s="10" t="s">
        <v>62</v>
      </c>
    </row>
    <row r="21" spans="2:2" x14ac:dyDescent="0.2">
      <c r="B21" s="10" t="s">
        <v>71</v>
      </c>
    </row>
    <row r="22" spans="2:2" x14ac:dyDescent="0.2">
      <c r="B22" s="10" t="s">
        <v>72</v>
      </c>
    </row>
    <row r="23" spans="2:2" x14ac:dyDescent="0.2">
      <c r="B23" s="10" t="s">
        <v>73</v>
      </c>
    </row>
    <row r="24" spans="2:2" x14ac:dyDescent="0.2">
      <c r="B24" s="10" t="s">
        <v>74</v>
      </c>
    </row>
    <row r="25" spans="2:2" x14ac:dyDescent="0.2">
      <c r="B25" s="10" t="s">
        <v>76</v>
      </c>
    </row>
    <row r="26" spans="2:2" x14ac:dyDescent="0.2">
      <c r="B26" s="10" t="s">
        <v>119</v>
      </c>
    </row>
    <row r="27" spans="2:2" x14ac:dyDescent="0.2">
      <c r="B27" s="10" t="s">
        <v>123</v>
      </c>
    </row>
    <row r="28" spans="2:2" x14ac:dyDescent="0.2">
      <c r="B28" s="10" t="s">
        <v>128</v>
      </c>
    </row>
  </sheetData>
  <phoneticPr fontId="0" type="noConversion"/>
  <hyperlinks>
    <hyperlink ref="C4" r:id="rId1" xr:uid="{00000000-0004-0000-0000-000000000000}"/>
    <hyperlink ref="C5" r:id="rId2" xr:uid="{00000000-0004-0000-0000-000001000000}"/>
    <hyperlink ref="C3" r:id="rId3" xr:uid="{00000000-0004-0000-0000-000002000000}"/>
    <hyperlink ref="C6" r:id="rId4" xr:uid="{00000000-0004-0000-0000-000003000000}"/>
  </hyperlinks>
  <pageMargins left="0.75" right="0.75" top="1" bottom="1" header="0" footer="0"/>
  <pageSetup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DFF56-BB73-48FA-A524-009AD33D1CB0}">
  <dimension ref="A1:AL26"/>
  <sheetViews>
    <sheetView showGridLines="0" workbookViewId="0">
      <selection activeCell="D29" sqref="D29"/>
    </sheetView>
  </sheetViews>
  <sheetFormatPr baseColWidth="10" defaultColWidth="11.42578125" defaultRowHeight="12.75" x14ac:dyDescent="0.2"/>
  <cols>
    <col min="1" max="1" width="3.42578125" style="210" customWidth="1"/>
    <col min="2" max="2" width="7.42578125" style="210" hidden="1" customWidth="1"/>
    <col min="3" max="3" width="11.42578125" style="210"/>
    <col min="4" max="4" width="39.7109375" style="210" bestFit="1" customWidth="1"/>
    <col min="5" max="6" width="7.7109375" style="210" bestFit="1" customWidth="1"/>
    <col min="7" max="7" width="12.42578125" style="210" bestFit="1" customWidth="1"/>
    <col min="8" max="8" width="12.140625" style="210" bestFit="1" customWidth="1"/>
    <col min="9" max="9" width="9.7109375" style="210" bestFit="1" customWidth="1"/>
    <col min="10" max="10" width="13.42578125" style="210" bestFit="1" customWidth="1"/>
    <col min="11" max="12" width="9.7109375" style="210" bestFit="1" customWidth="1"/>
    <col min="13" max="13" width="13.42578125" style="210" bestFit="1" customWidth="1"/>
    <col min="14" max="15" width="9" style="210" bestFit="1" customWidth="1"/>
    <col min="16" max="16" width="8.85546875" style="210" customWidth="1"/>
    <col min="17" max="17" width="16.42578125" style="210" bestFit="1" customWidth="1"/>
    <col min="18" max="18" width="7.140625" style="210" bestFit="1" customWidth="1"/>
    <col min="19" max="19" width="10.7109375" style="210" bestFit="1" customWidth="1"/>
    <col min="20" max="20" width="11.7109375" style="210" bestFit="1" customWidth="1"/>
    <col min="21" max="21" width="13.28515625" style="210" bestFit="1" customWidth="1"/>
    <col min="22" max="22" width="12.42578125" style="210" customWidth="1"/>
    <col min="23" max="23" width="12" style="210" bestFit="1" customWidth="1"/>
    <col min="24" max="24" width="8.85546875" style="210" bestFit="1" customWidth="1"/>
    <col min="25" max="25" width="13.28515625" style="210" bestFit="1" customWidth="1"/>
    <col min="26" max="27" width="8.85546875" style="210" bestFit="1" customWidth="1"/>
    <col min="28" max="28" width="13.28515625" style="210" bestFit="1" customWidth="1"/>
    <col min="29" max="30" width="8.85546875" style="210" bestFit="1" customWidth="1"/>
    <col min="31" max="31" width="8.7109375" style="210" bestFit="1" customWidth="1"/>
    <col min="32" max="32" width="16.42578125" style="210" bestFit="1" customWidth="1"/>
    <col min="33" max="34" width="8.7109375" style="210" bestFit="1" customWidth="1"/>
    <col min="35" max="37" width="11.7109375" style="210" bestFit="1" customWidth="1"/>
    <col min="38" max="38" width="14.28515625" style="210" bestFit="1" customWidth="1"/>
    <col min="39" max="16384" width="11.42578125" style="210"/>
  </cols>
  <sheetData>
    <row r="1" spans="1:38" x14ac:dyDescent="0.2">
      <c r="S1" s="216" t="s">
        <v>102</v>
      </c>
    </row>
    <row r="2" spans="1:38" ht="15.75" x14ac:dyDescent="0.25">
      <c r="A2" s="212" t="s">
        <v>101</v>
      </c>
      <c r="B2" s="212"/>
    </row>
    <row r="4" spans="1:38" x14ac:dyDescent="0.2"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</row>
    <row r="5" spans="1:38" s="213" customFormat="1" ht="13.5" thickBot="1" x14ac:dyDescent="0.25"/>
    <row r="6" spans="1:38" s="213" customFormat="1" ht="13.5" thickBot="1" x14ac:dyDescent="0.25">
      <c r="E6" s="214"/>
      <c r="F6" s="325" t="s">
        <v>124</v>
      </c>
      <c r="G6" s="325"/>
      <c r="H6" s="325"/>
      <c r="I6" s="325"/>
      <c r="J6" s="325"/>
      <c r="K6" s="325"/>
      <c r="L6" s="325"/>
      <c r="M6" s="325"/>
      <c r="N6" s="325"/>
      <c r="O6" s="325"/>
      <c r="P6" s="325"/>
      <c r="Q6" s="325"/>
      <c r="R6" s="325"/>
      <c r="S6" s="326"/>
      <c r="T6" s="324" t="s">
        <v>100</v>
      </c>
      <c r="U6" s="325"/>
      <c r="V6" s="325"/>
      <c r="W6" s="325"/>
      <c r="X6" s="325"/>
      <c r="Y6" s="325"/>
      <c r="Z6" s="325"/>
      <c r="AA6" s="325"/>
      <c r="AB6" s="325"/>
      <c r="AC6" s="325"/>
      <c r="AD6" s="325"/>
      <c r="AE6" s="325"/>
      <c r="AF6" s="325"/>
      <c r="AG6" s="325"/>
      <c r="AH6" s="326"/>
      <c r="AI6" s="324" t="s">
        <v>113</v>
      </c>
      <c r="AJ6" s="325"/>
      <c r="AK6" s="325"/>
      <c r="AL6" s="325"/>
    </row>
    <row r="7" spans="1:38" s="213" customFormat="1" ht="13.5" thickBot="1" x14ac:dyDescent="0.25">
      <c r="C7" s="322" t="s">
        <v>22</v>
      </c>
      <c r="D7" s="322" t="s">
        <v>24</v>
      </c>
      <c r="E7" s="322" t="s">
        <v>10</v>
      </c>
      <c r="F7" s="319" t="s">
        <v>80</v>
      </c>
      <c r="G7" s="320"/>
      <c r="H7" s="320"/>
      <c r="I7" s="321"/>
      <c r="J7" s="319" t="s">
        <v>99</v>
      </c>
      <c r="K7" s="320"/>
      <c r="L7" s="321"/>
      <c r="M7" s="319" t="s">
        <v>98</v>
      </c>
      <c r="N7" s="320"/>
      <c r="O7" s="321"/>
      <c r="P7" s="317" t="s">
        <v>77</v>
      </c>
      <c r="Q7" s="317" t="s">
        <v>97</v>
      </c>
      <c r="R7" s="317" t="s">
        <v>96</v>
      </c>
      <c r="S7" s="317" t="s">
        <v>95</v>
      </c>
      <c r="T7" s="322" t="s">
        <v>10</v>
      </c>
      <c r="U7" s="319" t="s">
        <v>80</v>
      </c>
      <c r="V7" s="320"/>
      <c r="W7" s="320"/>
      <c r="X7" s="321"/>
      <c r="Y7" s="319" t="s">
        <v>99</v>
      </c>
      <c r="Z7" s="320"/>
      <c r="AA7" s="321"/>
      <c r="AB7" s="319" t="s">
        <v>98</v>
      </c>
      <c r="AC7" s="320"/>
      <c r="AD7" s="321"/>
      <c r="AE7" s="317" t="s">
        <v>77</v>
      </c>
      <c r="AF7" s="317" t="s">
        <v>97</v>
      </c>
      <c r="AG7" s="317" t="s">
        <v>96</v>
      </c>
      <c r="AH7" s="317" t="s">
        <v>95</v>
      </c>
      <c r="AI7" s="317" t="s">
        <v>94</v>
      </c>
      <c r="AJ7" s="317" t="s">
        <v>93</v>
      </c>
      <c r="AK7" s="317" t="s">
        <v>92</v>
      </c>
      <c r="AL7" s="317" t="s">
        <v>91</v>
      </c>
    </row>
    <row r="8" spans="1:38" s="213" customFormat="1" ht="18.75" customHeight="1" thickBot="1" x14ac:dyDescent="0.25">
      <c r="C8" s="323"/>
      <c r="D8" s="323"/>
      <c r="E8" s="323"/>
      <c r="F8" s="69" t="s">
        <v>11</v>
      </c>
      <c r="G8" s="69" t="s">
        <v>90</v>
      </c>
      <c r="H8" s="69" t="s">
        <v>88</v>
      </c>
      <c r="I8" s="69" t="s">
        <v>87</v>
      </c>
      <c r="J8" s="69" t="s">
        <v>89</v>
      </c>
      <c r="K8" s="69" t="s">
        <v>88</v>
      </c>
      <c r="L8" s="69" t="s">
        <v>87</v>
      </c>
      <c r="M8" s="69" t="s">
        <v>89</v>
      </c>
      <c r="N8" s="69" t="s">
        <v>88</v>
      </c>
      <c r="O8" s="69" t="s">
        <v>87</v>
      </c>
      <c r="P8" s="318"/>
      <c r="Q8" s="318"/>
      <c r="R8" s="318"/>
      <c r="S8" s="318"/>
      <c r="T8" s="323"/>
      <c r="U8" s="69" t="s">
        <v>89</v>
      </c>
      <c r="V8" s="69" t="s">
        <v>90</v>
      </c>
      <c r="W8" s="69" t="s">
        <v>88</v>
      </c>
      <c r="X8" s="69" t="s">
        <v>87</v>
      </c>
      <c r="Y8" s="69" t="s">
        <v>89</v>
      </c>
      <c r="Z8" s="69" t="s">
        <v>88</v>
      </c>
      <c r="AA8" s="69" t="s">
        <v>87</v>
      </c>
      <c r="AB8" s="69" t="s">
        <v>89</v>
      </c>
      <c r="AC8" s="69" t="s">
        <v>88</v>
      </c>
      <c r="AD8" s="69" t="s">
        <v>87</v>
      </c>
      <c r="AE8" s="318"/>
      <c r="AF8" s="318"/>
      <c r="AG8" s="318"/>
      <c r="AH8" s="318"/>
      <c r="AI8" s="318"/>
      <c r="AJ8" s="318"/>
      <c r="AK8" s="318"/>
      <c r="AL8" s="318"/>
    </row>
    <row r="9" spans="1:38" s="213" customFormat="1" x14ac:dyDescent="0.2">
      <c r="C9" s="56">
        <v>44470</v>
      </c>
      <c r="D9" s="56" t="s">
        <v>120</v>
      </c>
      <c r="E9" s="274" t="s">
        <v>48</v>
      </c>
      <c r="F9" s="286">
        <v>546</v>
      </c>
      <c r="G9" s="287">
        <v>0.72697000000000001</v>
      </c>
      <c r="H9" s="287">
        <v>5.9339999999999997E-2</v>
      </c>
      <c r="I9" s="287">
        <v>0.21368999999999999</v>
      </c>
      <c r="J9" s="288">
        <v>72.837000000000003</v>
      </c>
      <c r="K9" s="287">
        <v>0.54988000000000004</v>
      </c>
      <c r="L9" s="287">
        <v>0.45012000000000002</v>
      </c>
      <c r="M9" s="288">
        <v>11.917999999999999</v>
      </c>
      <c r="N9" s="287">
        <v>0.15295</v>
      </c>
      <c r="O9" s="287">
        <v>0.84704999999999997</v>
      </c>
      <c r="P9" s="288">
        <v>1.107</v>
      </c>
      <c r="Q9" s="286">
        <v>5803.92</v>
      </c>
      <c r="R9" s="288">
        <v>1.1000000000000001</v>
      </c>
      <c r="S9" s="289">
        <v>1.0046999999999999</v>
      </c>
      <c r="T9" s="274" t="s">
        <v>56</v>
      </c>
      <c r="U9" s="288">
        <v>523.88</v>
      </c>
      <c r="V9" s="288">
        <v>0.73073999999999995</v>
      </c>
      <c r="W9" s="288">
        <v>5.9639999999999999E-2</v>
      </c>
      <c r="X9" s="288">
        <v>0.20962</v>
      </c>
      <c r="Y9" s="288">
        <v>67.846000000000004</v>
      </c>
      <c r="Z9" s="287">
        <v>0.64307000000000003</v>
      </c>
      <c r="AA9" s="287">
        <v>0.35693000000000003</v>
      </c>
      <c r="AB9" s="288">
        <v>7.7210000000000001</v>
      </c>
      <c r="AC9" s="288">
        <v>0.12336</v>
      </c>
      <c r="AD9" s="288">
        <v>0.87663999999999997</v>
      </c>
      <c r="AE9" s="288">
        <v>0.95299999999999996</v>
      </c>
      <c r="AF9" s="288">
        <v>5418.16</v>
      </c>
      <c r="AG9" s="288">
        <v>1.1000000000000001</v>
      </c>
      <c r="AH9" s="288">
        <v>1.0043</v>
      </c>
      <c r="AI9" s="297">
        <v>8.7849999999999994E-3</v>
      </c>
      <c r="AJ9" s="297">
        <v>8.1379999999999994E-3</v>
      </c>
      <c r="AK9" s="297">
        <v>8.0850000000000002E-3</v>
      </c>
      <c r="AL9" s="288">
        <v>1.0488090000000001</v>
      </c>
    </row>
    <row r="10" spans="1:38" s="213" customFormat="1" x14ac:dyDescent="0.2">
      <c r="C10" s="38">
        <v>44501</v>
      </c>
      <c r="D10" s="38" t="s">
        <v>120</v>
      </c>
      <c r="E10" s="275" t="s">
        <v>48</v>
      </c>
      <c r="F10" s="233">
        <v>546</v>
      </c>
      <c r="G10" s="257">
        <v>0.72697000000000001</v>
      </c>
      <c r="H10" s="257">
        <v>5.9339999999999997E-2</v>
      </c>
      <c r="I10" s="257">
        <v>0.21368999999999999</v>
      </c>
      <c r="J10" s="228">
        <v>72.837000000000003</v>
      </c>
      <c r="K10" s="257">
        <v>0.54988000000000004</v>
      </c>
      <c r="L10" s="257">
        <v>0.45012000000000002</v>
      </c>
      <c r="M10" s="228">
        <v>11.917999999999999</v>
      </c>
      <c r="N10" s="257">
        <v>0.15295</v>
      </c>
      <c r="O10" s="257">
        <v>0.84704999999999997</v>
      </c>
      <c r="P10" s="228">
        <v>1.107</v>
      </c>
      <c r="Q10" s="233">
        <v>5803.92</v>
      </c>
      <c r="R10" s="228">
        <v>1.1000000000000001</v>
      </c>
      <c r="S10" s="255">
        <v>1.0046999999999999</v>
      </c>
      <c r="T10" s="275" t="s">
        <v>56</v>
      </c>
      <c r="U10" s="228">
        <v>523.88</v>
      </c>
      <c r="V10" s="228">
        <v>0.73073999999999995</v>
      </c>
      <c r="W10" s="228">
        <v>5.9639999999999999E-2</v>
      </c>
      <c r="X10" s="228">
        <v>0.20962</v>
      </c>
      <c r="Y10" s="228">
        <v>67.846000000000004</v>
      </c>
      <c r="Z10" s="257">
        <v>0.64307000000000003</v>
      </c>
      <c r="AA10" s="257">
        <v>0.35693000000000003</v>
      </c>
      <c r="AB10" s="228">
        <v>7.7210000000000001</v>
      </c>
      <c r="AC10" s="228">
        <v>0.12336</v>
      </c>
      <c r="AD10" s="228">
        <v>0.87663999999999997</v>
      </c>
      <c r="AE10" s="228">
        <v>0.95299999999999996</v>
      </c>
      <c r="AF10" s="228">
        <f t="shared" ref="AF10:AF13" si="0">+AF9</f>
        <v>5418.16</v>
      </c>
      <c r="AG10" s="228">
        <v>1.1000000000000001</v>
      </c>
      <c r="AH10" s="228">
        <v>1.0043</v>
      </c>
      <c r="AI10" s="298">
        <v>8.7849999999999994E-3</v>
      </c>
      <c r="AJ10" s="298">
        <v>8.1379999999999994E-3</v>
      </c>
      <c r="AK10" s="298">
        <v>8.0850000000000002E-3</v>
      </c>
      <c r="AL10" s="228">
        <v>1.0488090000000001</v>
      </c>
    </row>
    <row r="11" spans="1:38" s="213" customFormat="1" x14ac:dyDescent="0.2">
      <c r="C11" s="2">
        <v>44531</v>
      </c>
      <c r="D11" s="2" t="s">
        <v>120</v>
      </c>
      <c r="E11" s="276" t="s">
        <v>48</v>
      </c>
      <c r="F11" s="253">
        <v>546</v>
      </c>
      <c r="G11" s="256">
        <v>0.72697000000000001</v>
      </c>
      <c r="H11" s="256">
        <v>5.9339999999999997E-2</v>
      </c>
      <c r="I11" s="256">
        <v>0.21368999999999999</v>
      </c>
      <c r="J11" s="229">
        <v>72.837000000000003</v>
      </c>
      <c r="K11" s="256">
        <v>0.54988000000000004</v>
      </c>
      <c r="L11" s="256">
        <v>0.45012000000000002</v>
      </c>
      <c r="M11" s="229">
        <v>11.917999999999999</v>
      </c>
      <c r="N11" s="256">
        <v>0.15295</v>
      </c>
      <c r="O11" s="256">
        <v>0.84704999999999997</v>
      </c>
      <c r="P11" s="229">
        <v>1.107</v>
      </c>
      <c r="Q11" s="253">
        <v>5803.92</v>
      </c>
      <c r="R11" s="229">
        <v>1.1000000000000001</v>
      </c>
      <c r="S11" s="254">
        <v>1.0046999999999999</v>
      </c>
      <c r="T11" s="276" t="s">
        <v>56</v>
      </c>
      <c r="U11" s="229">
        <v>523.88</v>
      </c>
      <c r="V11" s="229">
        <v>0.73073999999999995</v>
      </c>
      <c r="W11" s="229">
        <v>5.9639999999999999E-2</v>
      </c>
      <c r="X11" s="229">
        <v>0.20962</v>
      </c>
      <c r="Y11" s="229">
        <v>67.846000000000004</v>
      </c>
      <c r="Z11" s="256">
        <v>0.64307000000000003</v>
      </c>
      <c r="AA11" s="256">
        <v>0.35693000000000003</v>
      </c>
      <c r="AB11" s="229">
        <v>7.7210000000000001</v>
      </c>
      <c r="AC11" s="229">
        <v>0.12336</v>
      </c>
      <c r="AD11" s="229">
        <v>0.87663999999999997</v>
      </c>
      <c r="AE11" s="229">
        <v>0.95299999999999996</v>
      </c>
      <c r="AF11" s="229">
        <f t="shared" si="0"/>
        <v>5418.16</v>
      </c>
      <c r="AG11" s="229">
        <v>1.1000000000000001</v>
      </c>
      <c r="AH11" s="229">
        <v>1.0043</v>
      </c>
      <c r="AI11" s="299">
        <v>8.7849999999999994E-3</v>
      </c>
      <c r="AJ11" s="299">
        <v>8.1379999999999994E-3</v>
      </c>
      <c r="AK11" s="299">
        <v>8.0850000000000002E-3</v>
      </c>
      <c r="AL11" s="229">
        <v>1.0488090000000001</v>
      </c>
    </row>
    <row r="12" spans="1:38" s="213" customFormat="1" x14ac:dyDescent="0.2">
      <c r="C12" s="38">
        <v>44562</v>
      </c>
      <c r="D12" s="38" t="s">
        <v>120</v>
      </c>
      <c r="E12" s="275" t="s">
        <v>48</v>
      </c>
      <c r="F12" s="233">
        <v>546</v>
      </c>
      <c r="G12" s="257">
        <v>0.72697000000000001</v>
      </c>
      <c r="H12" s="257">
        <v>5.9339999999999997E-2</v>
      </c>
      <c r="I12" s="257">
        <v>0.21368999999999999</v>
      </c>
      <c r="J12" s="228">
        <v>72.837000000000003</v>
      </c>
      <c r="K12" s="257">
        <v>0.54988000000000004</v>
      </c>
      <c r="L12" s="257">
        <v>0.45012000000000002</v>
      </c>
      <c r="M12" s="228">
        <v>11.917999999999999</v>
      </c>
      <c r="N12" s="257">
        <v>0.15295</v>
      </c>
      <c r="O12" s="257">
        <v>0.84704999999999997</v>
      </c>
      <c r="P12" s="228">
        <v>1.107</v>
      </c>
      <c r="Q12" s="233">
        <v>5803.92</v>
      </c>
      <c r="R12" s="228">
        <v>1.1000000000000001</v>
      </c>
      <c r="S12" s="255">
        <v>1.0046999999999999</v>
      </c>
      <c r="T12" s="275" t="s">
        <v>56</v>
      </c>
      <c r="U12" s="228">
        <v>523.88</v>
      </c>
      <c r="V12" s="228">
        <v>0.73073999999999995</v>
      </c>
      <c r="W12" s="228">
        <v>5.9639999999999999E-2</v>
      </c>
      <c r="X12" s="228">
        <v>0.20962</v>
      </c>
      <c r="Y12" s="228">
        <v>67.846000000000004</v>
      </c>
      <c r="Z12" s="257">
        <v>0.64307000000000003</v>
      </c>
      <c r="AA12" s="257">
        <v>0.35693000000000003</v>
      </c>
      <c r="AB12" s="228">
        <v>7.7210000000000001</v>
      </c>
      <c r="AC12" s="228">
        <v>0.12336</v>
      </c>
      <c r="AD12" s="228">
        <v>0.87663999999999997</v>
      </c>
      <c r="AE12" s="228">
        <v>0.95299999999999996</v>
      </c>
      <c r="AF12" s="228">
        <f t="shared" si="0"/>
        <v>5418.16</v>
      </c>
      <c r="AG12" s="228">
        <v>1.1000000000000001</v>
      </c>
      <c r="AH12" s="228">
        <v>1.0043</v>
      </c>
      <c r="AI12" s="298">
        <v>8.7849999999999994E-3</v>
      </c>
      <c r="AJ12" s="298">
        <v>8.1379999999999994E-3</v>
      </c>
      <c r="AK12" s="298">
        <v>8.0850000000000002E-3</v>
      </c>
      <c r="AL12" s="228">
        <v>1.0488090000000001</v>
      </c>
    </row>
    <row r="13" spans="1:38" s="213" customFormat="1" x14ac:dyDescent="0.2">
      <c r="C13" s="2">
        <v>44593</v>
      </c>
      <c r="D13" s="2" t="s">
        <v>120</v>
      </c>
      <c r="E13" s="276" t="s">
        <v>48</v>
      </c>
      <c r="F13" s="253">
        <v>546</v>
      </c>
      <c r="G13" s="256">
        <v>0.72697000000000001</v>
      </c>
      <c r="H13" s="256">
        <v>5.9339999999999997E-2</v>
      </c>
      <c r="I13" s="256">
        <v>0.21368999999999999</v>
      </c>
      <c r="J13" s="229">
        <v>72.837000000000003</v>
      </c>
      <c r="K13" s="256">
        <v>0.54988000000000004</v>
      </c>
      <c r="L13" s="256">
        <v>0.45012000000000002</v>
      </c>
      <c r="M13" s="229">
        <v>11.917999999999999</v>
      </c>
      <c r="N13" s="256">
        <v>0.15295</v>
      </c>
      <c r="O13" s="256">
        <v>0.84704999999999997</v>
      </c>
      <c r="P13" s="229">
        <v>1.107</v>
      </c>
      <c r="Q13" s="253">
        <v>5803.92</v>
      </c>
      <c r="R13" s="229">
        <v>1.1000000000000001</v>
      </c>
      <c r="S13" s="254">
        <v>1.0046999999999999</v>
      </c>
      <c r="T13" s="276" t="s">
        <v>56</v>
      </c>
      <c r="U13" s="229">
        <v>523.88</v>
      </c>
      <c r="V13" s="229">
        <v>0.73073999999999995</v>
      </c>
      <c r="W13" s="229">
        <v>5.9639999999999999E-2</v>
      </c>
      <c r="X13" s="229">
        <v>0.20962</v>
      </c>
      <c r="Y13" s="229">
        <v>67.846000000000004</v>
      </c>
      <c r="Z13" s="256">
        <v>0.64307000000000003</v>
      </c>
      <c r="AA13" s="256">
        <v>0.35693000000000003</v>
      </c>
      <c r="AB13" s="229">
        <v>7.7210000000000001</v>
      </c>
      <c r="AC13" s="229">
        <v>0.12336</v>
      </c>
      <c r="AD13" s="229">
        <v>0.87663999999999997</v>
      </c>
      <c r="AE13" s="229">
        <v>0.95299999999999996</v>
      </c>
      <c r="AF13" s="229">
        <f t="shared" si="0"/>
        <v>5418.16</v>
      </c>
      <c r="AG13" s="229">
        <v>1.1000000000000001</v>
      </c>
      <c r="AH13" s="229">
        <v>1.0043</v>
      </c>
      <c r="AI13" s="299">
        <v>8.7849999999999994E-3</v>
      </c>
      <c r="AJ13" s="299">
        <v>8.1379999999999994E-3</v>
      </c>
      <c r="AK13" s="299">
        <v>8.0850000000000002E-3</v>
      </c>
      <c r="AL13" s="229">
        <v>1.0488090000000001</v>
      </c>
    </row>
    <row r="14" spans="1:38" s="213" customFormat="1" x14ac:dyDescent="0.2">
      <c r="C14" s="38">
        <v>44621</v>
      </c>
      <c r="D14" s="38" t="s">
        <v>121</v>
      </c>
      <c r="E14" s="248" t="s">
        <v>48</v>
      </c>
      <c r="F14" s="233">
        <v>546</v>
      </c>
      <c r="G14" s="257">
        <v>0.72697000000000001</v>
      </c>
      <c r="H14" s="257">
        <v>5.9339999999999997E-2</v>
      </c>
      <c r="I14" s="257">
        <v>0.21368999999999999</v>
      </c>
      <c r="J14" s="228">
        <v>72.837000000000003</v>
      </c>
      <c r="K14" s="257">
        <v>0.54988000000000004</v>
      </c>
      <c r="L14" s="257">
        <v>0.45012000000000002</v>
      </c>
      <c r="M14" s="228">
        <v>11.917999999999999</v>
      </c>
      <c r="N14" s="257">
        <v>0.15295</v>
      </c>
      <c r="O14" s="257">
        <v>0.84704999999999997</v>
      </c>
      <c r="P14" s="228">
        <v>1.107</v>
      </c>
      <c r="Q14" s="233">
        <v>6641.26</v>
      </c>
      <c r="R14" s="228">
        <v>1.1000000000000001</v>
      </c>
      <c r="S14" s="255">
        <v>1.0046999999999999</v>
      </c>
      <c r="T14" s="249" t="s">
        <v>56</v>
      </c>
      <c r="U14" s="228">
        <v>523.88</v>
      </c>
      <c r="V14" s="228">
        <v>0.73073999999999995</v>
      </c>
      <c r="W14" s="228">
        <v>5.9639999999999999E-2</v>
      </c>
      <c r="X14" s="228">
        <v>0.20962</v>
      </c>
      <c r="Y14" s="228">
        <v>67.846000000000004</v>
      </c>
      <c r="Z14" s="257">
        <v>0.64307000000000003</v>
      </c>
      <c r="AA14" s="257">
        <v>0.35693000000000003</v>
      </c>
      <c r="AB14" s="228">
        <v>7.7210000000000001</v>
      </c>
      <c r="AC14" s="228">
        <v>0.12336</v>
      </c>
      <c r="AD14" s="228">
        <v>0.87663999999999997</v>
      </c>
      <c r="AE14" s="228">
        <v>0.95299999999999996</v>
      </c>
      <c r="AF14" s="228">
        <v>6221.93</v>
      </c>
      <c r="AG14" s="228">
        <v>1.1000000000000001</v>
      </c>
      <c r="AH14" s="228">
        <v>1.0043</v>
      </c>
      <c r="AI14" s="298">
        <v>8.7849999999999994E-3</v>
      </c>
      <c r="AJ14" s="298">
        <v>8.1379999999999994E-3</v>
      </c>
      <c r="AK14" s="298">
        <v>8.0850000000000002E-3</v>
      </c>
      <c r="AL14" s="228">
        <v>1.0488090000000001</v>
      </c>
    </row>
    <row r="15" spans="1:38" x14ac:dyDescent="0.2">
      <c r="C15" s="2">
        <v>44652</v>
      </c>
      <c r="D15" s="2" t="s">
        <v>125</v>
      </c>
      <c r="E15" s="276" t="s">
        <v>48</v>
      </c>
      <c r="F15" s="227">
        <v>546</v>
      </c>
      <c r="G15" s="256">
        <v>0.72697000000000001</v>
      </c>
      <c r="H15" s="256">
        <v>5.9339999999999997E-2</v>
      </c>
      <c r="I15" s="256">
        <v>0.21368999999999999</v>
      </c>
      <c r="J15" s="258">
        <v>72.837000000000003</v>
      </c>
      <c r="K15" s="256">
        <v>0.54988000000000004</v>
      </c>
      <c r="L15" s="256">
        <v>0.45012000000000002</v>
      </c>
      <c r="M15" s="258">
        <v>11.917999999999999</v>
      </c>
      <c r="N15" s="256">
        <v>0.15295</v>
      </c>
      <c r="O15" s="256">
        <v>0.84704999999999997</v>
      </c>
      <c r="P15" s="258">
        <v>1.107</v>
      </c>
      <c r="Q15" s="253">
        <v>6531.51</v>
      </c>
      <c r="R15" s="229">
        <v>1.1000000000000001</v>
      </c>
      <c r="S15" s="254">
        <v>1.0046999999999999</v>
      </c>
      <c r="T15" s="276" t="s">
        <v>56</v>
      </c>
      <c r="U15" s="258">
        <v>523.88</v>
      </c>
      <c r="V15" s="229">
        <v>0.73073999999999995</v>
      </c>
      <c r="W15" s="229">
        <v>5.9639999999999999E-2</v>
      </c>
      <c r="X15" s="229">
        <v>0.20962</v>
      </c>
      <c r="Y15" s="258">
        <v>67.846000000000004</v>
      </c>
      <c r="Z15" s="256">
        <v>0.64307000000000003</v>
      </c>
      <c r="AA15" s="256">
        <v>0.35693000000000003</v>
      </c>
      <c r="AB15" s="258">
        <v>7.7210000000000001</v>
      </c>
      <c r="AC15" s="229">
        <v>0.12336</v>
      </c>
      <c r="AD15" s="229">
        <v>0.87663999999999997</v>
      </c>
      <c r="AE15" s="258">
        <v>0.95299999999999996</v>
      </c>
      <c r="AF15" s="229">
        <v>6119.19</v>
      </c>
      <c r="AG15" s="229">
        <v>1.1000000000000001</v>
      </c>
      <c r="AH15" s="229">
        <v>1.0043</v>
      </c>
      <c r="AI15" s="299">
        <v>8.7849999999999994E-3</v>
      </c>
      <c r="AJ15" s="299">
        <v>8.1379999999999994E-3</v>
      </c>
      <c r="AK15" s="299">
        <v>8.0850000000000002E-3</v>
      </c>
      <c r="AL15" s="229">
        <v>1.0488090000000001</v>
      </c>
    </row>
    <row r="16" spans="1:38" x14ac:dyDescent="0.2">
      <c r="C16" s="38">
        <v>44682</v>
      </c>
      <c r="D16" s="38" t="s">
        <v>125</v>
      </c>
      <c r="E16" s="248" t="s">
        <v>48</v>
      </c>
      <c r="F16" s="233">
        <v>546</v>
      </c>
      <c r="G16" s="257">
        <v>0.72697000000000001</v>
      </c>
      <c r="H16" s="257">
        <v>5.9339999999999997E-2</v>
      </c>
      <c r="I16" s="257">
        <v>0.21368999999999999</v>
      </c>
      <c r="J16" s="228">
        <v>72.837000000000003</v>
      </c>
      <c r="K16" s="257">
        <v>0.54988000000000004</v>
      </c>
      <c r="L16" s="257">
        <v>0.45012000000000002</v>
      </c>
      <c r="M16" s="228">
        <v>11.917999999999999</v>
      </c>
      <c r="N16" s="257">
        <v>0.15295</v>
      </c>
      <c r="O16" s="257">
        <v>0.84704999999999997</v>
      </c>
      <c r="P16" s="228">
        <v>1.107</v>
      </c>
      <c r="Q16" s="233">
        <v>6531.51</v>
      </c>
      <c r="R16" s="228">
        <v>1.1000000000000001</v>
      </c>
      <c r="S16" s="255">
        <v>1.0046999999999999</v>
      </c>
      <c r="T16" s="249" t="s">
        <v>56</v>
      </c>
      <c r="U16" s="228">
        <v>523.88</v>
      </c>
      <c r="V16" s="228">
        <v>0.73073999999999995</v>
      </c>
      <c r="W16" s="228">
        <v>5.9639999999999999E-2</v>
      </c>
      <c r="X16" s="228">
        <v>0.20962</v>
      </c>
      <c r="Y16" s="228">
        <v>67.846000000000004</v>
      </c>
      <c r="Z16" s="257">
        <v>0.64307000000000003</v>
      </c>
      <c r="AA16" s="257">
        <v>0.35693000000000003</v>
      </c>
      <c r="AB16" s="228">
        <v>7.7210000000000001</v>
      </c>
      <c r="AC16" s="228">
        <v>0.12336</v>
      </c>
      <c r="AD16" s="228">
        <v>0.87663999999999997</v>
      </c>
      <c r="AE16" s="228">
        <v>0.95299999999999996</v>
      </c>
      <c r="AF16" s="228">
        <v>6119.19</v>
      </c>
      <c r="AG16" s="228">
        <v>1.1000000000000001</v>
      </c>
      <c r="AH16" s="228">
        <v>1.0043</v>
      </c>
      <c r="AI16" s="298">
        <v>8.7849999999999994E-3</v>
      </c>
      <c r="AJ16" s="298">
        <v>8.1379999999999994E-3</v>
      </c>
      <c r="AK16" s="298">
        <v>8.0850000000000002E-3</v>
      </c>
      <c r="AL16" s="228">
        <v>1.0488090000000001</v>
      </c>
    </row>
    <row r="17" spans="3:38" x14ac:dyDescent="0.2">
      <c r="C17" s="2">
        <v>44713</v>
      </c>
      <c r="D17" s="2" t="s">
        <v>125</v>
      </c>
      <c r="E17" s="247" t="s">
        <v>48</v>
      </c>
      <c r="F17" s="227">
        <v>546</v>
      </c>
      <c r="G17" s="256">
        <v>0.72697000000000001</v>
      </c>
      <c r="H17" s="256">
        <v>5.9339999999999997E-2</v>
      </c>
      <c r="I17" s="256">
        <v>0.21368999999999999</v>
      </c>
      <c r="J17" s="258">
        <v>72.837000000000003</v>
      </c>
      <c r="K17" s="256">
        <v>0.54988000000000004</v>
      </c>
      <c r="L17" s="256">
        <v>0.45012000000000002</v>
      </c>
      <c r="M17" s="258">
        <v>11.917999999999999</v>
      </c>
      <c r="N17" s="256">
        <v>0.15295</v>
      </c>
      <c r="O17" s="256">
        <v>0.84704999999999997</v>
      </c>
      <c r="P17" s="258">
        <v>1.107</v>
      </c>
      <c r="Q17" s="253">
        <v>6531.51</v>
      </c>
      <c r="R17" s="229">
        <v>1.1000000000000001</v>
      </c>
      <c r="S17" s="254">
        <v>1.0046999999999999</v>
      </c>
      <c r="T17" s="276" t="s">
        <v>56</v>
      </c>
      <c r="U17" s="258">
        <v>523.88</v>
      </c>
      <c r="V17" s="229">
        <v>0.73073999999999995</v>
      </c>
      <c r="W17" s="229">
        <v>5.9639999999999999E-2</v>
      </c>
      <c r="X17" s="229">
        <v>0.20962</v>
      </c>
      <c r="Y17" s="258">
        <v>67.846000000000004</v>
      </c>
      <c r="Z17" s="256">
        <v>0.64307000000000003</v>
      </c>
      <c r="AA17" s="256">
        <v>0.35693000000000003</v>
      </c>
      <c r="AB17" s="258">
        <v>7.7210000000000001</v>
      </c>
      <c r="AC17" s="229">
        <v>0.12336</v>
      </c>
      <c r="AD17" s="229">
        <v>0.87663999999999997</v>
      </c>
      <c r="AE17" s="258">
        <v>0.95299999999999996</v>
      </c>
      <c r="AF17" s="229">
        <v>6119.19</v>
      </c>
      <c r="AG17" s="229">
        <v>1.1000000000000001</v>
      </c>
      <c r="AH17" s="229">
        <v>1.0043</v>
      </c>
      <c r="AI17" s="299">
        <v>8.7849999999999994E-3</v>
      </c>
      <c r="AJ17" s="299">
        <v>8.1379999999999994E-3</v>
      </c>
      <c r="AK17" s="299">
        <v>8.0850000000000002E-3</v>
      </c>
      <c r="AL17" s="229">
        <v>1.0488090000000001</v>
      </c>
    </row>
    <row r="18" spans="3:38" x14ac:dyDescent="0.2">
      <c r="C18" s="38">
        <v>44743</v>
      </c>
      <c r="D18" s="38" t="s">
        <v>125</v>
      </c>
      <c r="E18" s="277" t="s">
        <v>48</v>
      </c>
      <c r="F18" s="233">
        <v>546</v>
      </c>
      <c r="G18" s="257">
        <v>0.72697000000000001</v>
      </c>
      <c r="H18" s="257">
        <v>5.9339999999999997E-2</v>
      </c>
      <c r="I18" s="257">
        <v>0.21368999999999999</v>
      </c>
      <c r="J18" s="228">
        <v>72.837000000000003</v>
      </c>
      <c r="K18" s="257">
        <v>0.54988000000000004</v>
      </c>
      <c r="L18" s="257">
        <v>0.45012000000000002</v>
      </c>
      <c r="M18" s="228">
        <v>11.917999999999999</v>
      </c>
      <c r="N18" s="257">
        <v>0.15295</v>
      </c>
      <c r="O18" s="257">
        <v>0.84704999999999997</v>
      </c>
      <c r="P18" s="228">
        <v>1.107</v>
      </c>
      <c r="Q18" s="233">
        <v>6531.51</v>
      </c>
      <c r="R18" s="228">
        <v>1.1000000000000001</v>
      </c>
      <c r="S18" s="255">
        <v>1.0046999999999999</v>
      </c>
      <c r="T18" s="249" t="s">
        <v>56</v>
      </c>
      <c r="U18" s="228">
        <v>523.88</v>
      </c>
      <c r="V18" s="228">
        <v>0.73073999999999995</v>
      </c>
      <c r="W18" s="228">
        <v>5.9639999999999999E-2</v>
      </c>
      <c r="X18" s="228">
        <v>0.20962</v>
      </c>
      <c r="Y18" s="228">
        <v>67.846000000000004</v>
      </c>
      <c r="Z18" s="257">
        <v>0.64307000000000003</v>
      </c>
      <c r="AA18" s="257">
        <v>0.35693000000000003</v>
      </c>
      <c r="AB18" s="228">
        <v>7.7210000000000001</v>
      </c>
      <c r="AC18" s="228">
        <v>0.12336</v>
      </c>
      <c r="AD18" s="228">
        <v>0.87663999999999997</v>
      </c>
      <c r="AE18" s="228">
        <v>0.95299999999999996</v>
      </c>
      <c r="AF18" s="228">
        <v>6119.19</v>
      </c>
      <c r="AG18" s="228">
        <v>1.1000000000000001</v>
      </c>
      <c r="AH18" s="228">
        <v>1.0043</v>
      </c>
      <c r="AI18" s="298">
        <v>8.7849999999999994E-3</v>
      </c>
      <c r="AJ18" s="298">
        <v>8.1379999999999994E-3</v>
      </c>
      <c r="AK18" s="298">
        <v>8.0850000000000002E-3</v>
      </c>
      <c r="AL18" s="228">
        <v>1.0488090000000001</v>
      </c>
    </row>
    <row r="19" spans="3:38" x14ac:dyDescent="0.2">
      <c r="C19" s="2">
        <v>44774</v>
      </c>
      <c r="D19" s="2" t="s">
        <v>125</v>
      </c>
      <c r="E19" s="276" t="s">
        <v>48</v>
      </c>
      <c r="F19" s="227">
        <v>546</v>
      </c>
      <c r="G19" s="256">
        <v>0.72697000000000001</v>
      </c>
      <c r="H19" s="256">
        <v>5.9339999999999997E-2</v>
      </c>
      <c r="I19" s="256">
        <v>0.21368999999999999</v>
      </c>
      <c r="J19" s="258">
        <v>72.837000000000003</v>
      </c>
      <c r="K19" s="256">
        <v>0.54988000000000004</v>
      </c>
      <c r="L19" s="256">
        <v>0.45012000000000002</v>
      </c>
      <c r="M19" s="258">
        <v>11.917999999999999</v>
      </c>
      <c r="N19" s="256">
        <v>0.15295</v>
      </c>
      <c r="O19" s="256">
        <v>0.84704999999999997</v>
      </c>
      <c r="P19" s="258">
        <v>1.107</v>
      </c>
      <c r="Q19" s="253">
        <v>6531.51</v>
      </c>
      <c r="R19" s="229">
        <v>1.1000000000000001</v>
      </c>
      <c r="S19" s="254">
        <v>1.0046999999999999</v>
      </c>
      <c r="T19" s="276" t="s">
        <v>56</v>
      </c>
      <c r="U19" s="258">
        <v>523.88</v>
      </c>
      <c r="V19" s="229">
        <v>0.73073999999999995</v>
      </c>
      <c r="W19" s="229">
        <v>5.9639999999999999E-2</v>
      </c>
      <c r="X19" s="229">
        <v>0.20962</v>
      </c>
      <c r="Y19" s="258">
        <v>67.846000000000004</v>
      </c>
      <c r="Z19" s="256">
        <v>0.64307000000000003</v>
      </c>
      <c r="AA19" s="256">
        <v>0.35693000000000003</v>
      </c>
      <c r="AB19" s="258">
        <v>7.7210000000000001</v>
      </c>
      <c r="AC19" s="229">
        <v>0.12336</v>
      </c>
      <c r="AD19" s="229">
        <v>0.87663999999999997</v>
      </c>
      <c r="AE19" s="258">
        <v>0.95299999999999996</v>
      </c>
      <c r="AF19" s="229">
        <v>6119.19</v>
      </c>
      <c r="AG19" s="229">
        <v>1.1000000000000001</v>
      </c>
      <c r="AH19" s="229">
        <v>1.0043</v>
      </c>
      <c r="AI19" s="299">
        <v>8.7849999999999994E-3</v>
      </c>
      <c r="AJ19" s="299">
        <v>8.1379999999999994E-3</v>
      </c>
      <c r="AK19" s="299">
        <v>8.0850000000000002E-3</v>
      </c>
      <c r="AL19" s="229">
        <v>1.0488090000000001</v>
      </c>
    </row>
    <row r="20" spans="3:38" x14ac:dyDescent="0.2">
      <c r="C20" s="38">
        <v>44805</v>
      </c>
      <c r="D20" s="38" t="s">
        <v>126</v>
      </c>
      <c r="E20" s="248" t="s">
        <v>48</v>
      </c>
      <c r="F20" s="233">
        <v>546</v>
      </c>
      <c r="G20" s="257">
        <v>0.72697000000000001</v>
      </c>
      <c r="H20" s="257">
        <v>5.9339999999999997E-2</v>
      </c>
      <c r="I20" s="257">
        <v>0.21368999999999999</v>
      </c>
      <c r="J20" s="228">
        <v>72.837000000000003</v>
      </c>
      <c r="K20" s="257">
        <v>0.54988000000000004</v>
      </c>
      <c r="L20" s="257">
        <v>0.45012000000000002</v>
      </c>
      <c r="M20" s="228">
        <v>11.917999999999999</v>
      </c>
      <c r="N20" s="257">
        <v>0.15295</v>
      </c>
      <c r="O20" s="257">
        <v>0.84704999999999997</v>
      </c>
      <c r="P20" s="228">
        <v>1.107</v>
      </c>
      <c r="Q20" s="233">
        <v>6531.51</v>
      </c>
      <c r="R20" s="228">
        <v>1.1000000000000001</v>
      </c>
      <c r="S20" s="255">
        <v>1.0046999999999999</v>
      </c>
      <c r="T20" s="249" t="s">
        <v>56</v>
      </c>
      <c r="U20" s="228">
        <v>523.88</v>
      </c>
      <c r="V20" s="228">
        <v>0.73073999999999995</v>
      </c>
      <c r="W20" s="228">
        <v>5.9639999999999999E-2</v>
      </c>
      <c r="X20" s="228">
        <v>0.20962</v>
      </c>
      <c r="Y20" s="228">
        <v>67.846000000000004</v>
      </c>
      <c r="Z20" s="257">
        <v>0.64307000000000003</v>
      </c>
      <c r="AA20" s="257">
        <v>0.35693000000000003</v>
      </c>
      <c r="AB20" s="228">
        <v>7.7210000000000001</v>
      </c>
      <c r="AC20" s="228">
        <v>0.12336</v>
      </c>
      <c r="AD20" s="228">
        <v>0.87663999999999997</v>
      </c>
      <c r="AE20" s="228">
        <v>0.95299999999999996</v>
      </c>
      <c r="AF20" s="228">
        <v>6119.19</v>
      </c>
      <c r="AG20" s="228">
        <v>1.1000000000000001</v>
      </c>
      <c r="AH20" s="228">
        <v>1.0043</v>
      </c>
      <c r="AI20" s="298">
        <v>8.7849999999999994E-3</v>
      </c>
      <c r="AJ20" s="298">
        <v>8.1379999999999994E-3</v>
      </c>
      <c r="AK20" s="298">
        <v>8.0850000000000002E-3</v>
      </c>
      <c r="AL20" s="228">
        <v>1.0488090000000001</v>
      </c>
    </row>
    <row r="21" spans="3:38" x14ac:dyDescent="0.2">
      <c r="C21" s="2">
        <v>44835</v>
      </c>
      <c r="D21" s="2" t="s">
        <v>127</v>
      </c>
      <c r="E21" s="276" t="s">
        <v>48</v>
      </c>
      <c r="F21" s="227">
        <v>546</v>
      </c>
      <c r="G21" s="256">
        <v>0.72697000000000001</v>
      </c>
      <c r="H21" s="256">
        <v>5.9339999999999997E-2</v>
      </c>
      <c r="I21" s="256">
        <v>0.21368999999999999</v>
      </c>
      <c r="J21" s="258">
        <v>72.837000000000003</v>
      </c>
      <c r="K21" s="256">
        <v>0.54988000000000004</v>
      </c>
      <c r="L21" s="256">
        <v>0.45012000000000002</v>
      </c>
      <c r="M21" s="258">
        <v>11.917999999999999</v>
      </c>
      <c r="N21" s="256">
        <v>0.15295</v>
      </c>
      <c r="O21" s="256">
        <v>0.84704999999999997</v>
      </c>
      <c r="P21" s="258">
        <v>1.107</v>
      </c>
      <c r="Q21" s="253">
        <v>6974.43</v>
      </c>
      <c r="R21" s="229">
        <v>1.1000000000000001</v>
      </c>
      <c r="S21" s="254">
        <v>1.0046999999999999</v>
      </c>
      <c r="T21" s="276" t="s">
        <v>56</v>
      </c>
      <c r="U21" s="258">
        <v>523.88</v>
      </c>
      <c r="V21" s="229">
        <v>0.73073999999999995</v>
      </c>
      <c r="W21" s="229">
        <v>5.9639999999999999E-2</v>
      </c>
      <c r="X21" s="229">
        <v>0.20962</v>
      </c>
      <c r="Y21" s="258">
        <v>67.846000000000004</v>
      </c>
      <c r="Z21" s="256">
        <v>0.64307000000000003</v>
      </c>
      <c r="AA21" s="256">
        <v>0.35693000000000003</v>
      </c>
      <c r="AB21" s="258">
        <v>7.7210000000000001</v>
      </c>
      <c r="AC21" s="229">
        <v>0.12336</v>
      </c>
      <c r="AD21" s="229">
        <v>0.87663999999999997</v>
      </c>
      <c r="AE21" s="258">
        <v>0.95299999999999996</v>
      </c>
      <c r="AF21" s="229">
        <v>6535.12</v>
      </c>
      <c r="AG21" s="229">
        <v>1.1000000000000001</v>
      </c>
      <c r="AH21" s="229">
        <v>1.0043</v>
      </c>
      <c r="AI21" s="299">
        <v>8.7849999999999994E-3</v>
      </c>
      <c r="AJ21" s="299">
        <v>8.1379999999999994E-3</v>
      </c>
      <c r="AK21" s="299">
        <v>8.0850000000000002E-3</v>
      </c>
      <c r="AL21" s="229">
        <v>1.0488090000000001</v>
      </c>
    </row>
    <row r="22" spans="3:38" x14ac:dyDescent="0.2">
      <c r="C22" s="38">
        <v>44866</v>
      </c>
      <c r="D22" s="38" t="s">
        <v>127</v>
      </c>
      <c r="E22" s="248" t="s">
        <v>48</v>
      </c>
      <c r="F22" s="233">
        <v>546</v>
      </c>
      <c r="G22" s="257">
        <v>0.72697000000000001</v>
      </c>
      <c r="H22" s="257">
        <v>5.9339999999999997E-2</v>
      </c>
      <c r="I22" s="257">
        <v>0.21368999999999999</v>
      </c>
      <c r="J22" s="228">
        <v>72.837000000000003</v>
      </c>
      <c r="K22" s="257">
        <v>0.54988000000000004</v>
      </c>
      <c r="L22" s="257">
        <v>0.45012000000000002</v>
      </c>
      <c r="M22" s="228">
        <v>11.917999999999999</v>
      </c>
      <c r="N22" s="257">
        <v>0.15295</v>
      </c>
      <c r="O22" s="257">
        <v>0.84704999999999997</v>
      </c>
      <c r="P22" s="228">
        <v>1.107</v>
      </c>
      <c r="Q22" s="233">
        <v>6974.43</v>
      </c>
      <c r="R22" s="228">
        <v>1.1000000000000001</v>
      </c>
      <c r="S22" s="255">
        <v>1.0046999999999999</v>
      </c>
      <c r="T22" s="249" t="s">
        <v>56</v>
      </c>
      <c r="U22" s="228">
        <v>523.88</v>
      </c>
      <c r="V22" s="228">
        <v>0.73073999999999995</v>
      </c>
      <c r="W22" s="228">
        <v>5.9639999999999999E-2</v>
      </c>
      <c r="X22" s="228">
        <v>0.20962</v>
      </c>
      <c r="Y22" s="228">
        <v>67.846000000000004</v>
      </c>
      <c r="Z22" s="257">
        <v>0.64307000000000003</v>
      </c>
      <c r="AA22" s="257">
        <v>0.35693000000000003</v>
      </c>
      <c r="AB22" s="228">
        <v>7.7210000000000001</v>
      </c>
      <c r="AC22" s="228">
        <v>0.12336</v>
      </c>
      <c r="AD22" s="228">
        <v>0.87663999999999997</v>
      </c>
      <c r="AE22" s="228">
        <v>0.95299999999999996</v>
      </c>
      <c r="AF22" s="228">
        <v>6535.12</v>
      </c>
      <c r="AG22" s="228">
        <v>1.1000000000000001</v>
      </c>
      <c r="AH22" s="228">
        <v>1.0043</v>
      </c>
      <c r="AI22" s="298">
        <v>8.7849999999999994E-3</v>
      </c>
      <c r="AJ22" s="298">
        <v>8.1379999999999994E-3</v>
      </c>
      <c r="AK22" s="298">
        <v>8.0850000000000002E-3</v>
      </c>
      <c r="AL22" s="228">
        <v>1.0488090000000001</v>
      </c>
    </row>
    <row r="23" spans="3:38" x14ac:dyDescent="0.2">
      <c r="C23" s="2">
        <v>44896</v>
      </c>
      <c r="D23" s="2" t="s">
        <v>129</v>
      </c>
      <c r="E23" s="276" t="s">
        <v>48</v>
      </c>
      <c r="F23" s="227">
        <v>546</v>
      </c>
      <c r="G23" s="256">
        <v>0.72697000000000001</v>
      </c>
      <c r="H23" s="256">
        <v>5.9339999999999997E-2</v>
      </c>
      <c r="I23" s="256">
        <v>0.21368999999999999</v>
      </c>
      <c r="J23" s="258">
        <v>72.837000000000003</v>
      </c>
      <c r="K23" s="256">
        <v>0.54988000000000004</v>
      </c>
      <c r="L23" s="256">
        <v>0.45012000000000002</v>
      </c>
      <c r="M23" s="258">
        <v>11.917999999999999</v>
      </c>
      <c r="N23" s="256">
        <v>0.15295</v>
      </c>
      <c r="O23" s="256">
        <v>0.84704999999999997</v>
      </c>
      <c r="P23" s="258">
        <v>1.107</v>
      </c>
      <c r="Q23" s="253">
        <v>7940</v>
      </c>
      <c r="R23" s="229">
        <v>1.1000000000000001</v>
      </c>
      <c r="S23" s="254">
        <v>1.0046999999999999</v>
      </c>
      <c r="T23" s="276" t="s">
        <v>56</v>
      </c>
      <c r="U23" s="258">
        <v>523.88</v>
      </c>
      <c r="V23" s="229">
        <v>0.73073999999999995</v>
      </c>
      <c r="W23" s="229">
        <v>5.9639999999999999E-2</v>
      </c>
      <c r="X23" s="229">
        <v>0.20962</v>
      </c>
      <c r="Y23" s="258">
        <v>67.846000000000004</v>
      </c>
      <c r="Z23" s="256">
        <v>0.64307000000000003</v>
      </c>
      <c r="AA23" s="256">
        <v>0.35693000000000003</v>
      </c>
      <c r="AB23" s="258">
        <v>7.7210000000000001</v>
      </c>
      <c r="AC23" s="229">
        <v>0.12336</v>
      </c>
      <c r="AD23" s="229">
        <v>0.87663999999999997</v>
      </c>
      <c r="AE23" s="258">
        <v>0.95299999999999996</v>
      </c>
      <c r="AF23" s="229">
        <v>7465.69</v>
      </c>
      <c r="AG23" s="229">
        <v>1.1000000000000001</v>
      </c>
      <c r="AH23" s="229">
        <v>1.0043</v>
      </c>
      <c r="AI23" s="299">
        <v>8.7849999999999994E-3</v>
      </c>
      <c r="AJ23" s="299">
        <v>8.1379999999999994E-3</v>
      </c>
      <c r="AK23" s="299">
        <v>8.0850000000000002E-3</v>
      </c>
      <c r="AL23" s="229">
        <v>1.0488090000000001</v>
      </c>
    </row>
    <row r="24" spans="3:38" x14ac:dyDescent="0.2">
      <c r="C24" s="38">
        <v>44927</v>
      </c>
      <c r="D24" s="38" t="s">
        <v>129</v>
      </c>
      <c r="E24" s="301" t="s">
        <v>48</v>
      </c>
      <c r="F24" s="233">
        <v>546</v>
      </c>
      <c r="G24" s="257">
        <v>0.72697000000000001</v>
      </c>
      <c r="H24" s="257">
        <v>5.9339999999999997E-2</v>
      </c>
      <c r="I24" s="257">
        <v>0.21368999999999999</v>
      </c>
      <c r="J24" s="228">
        <v>72.837000000000003</v>
      </c>
      <c r="K24" s="257">
        <v>0.54988000000000004</v>
      </c>
      <c r="L24" s="257">
        <v>0.45012000000000002</v>
      </c>
      <c r="M24" s="228">
        <v>11.917999999999999</v>
      </c>
      <c r="N24" s="257">
        <v>0.15295</v>
      </c>
      <c r="O24" s="257">
        <v>0.84704999999999997</v>
      </c>
      <c r="P24" s="228">
        <v>1.107</v>
      </c>
      <c r="Q24" s="233">
        <v>7940</v>
      </c>
      <c r="R24" s="228">
        <v>1.1000000000000001</v>
      </c>
      <c r="S24" s="255">
        <v>1.0046999999999999</v>
      </c>
      <c r="T24" s="302" t="s">
        <v>56</v>
      </c>
      <c r="U24" s="228">
        <v>523.88</v>
      </c>
      <c r="V24" s="228">
        <v>0.73073999999999995</v>
      </c>
      <c r="W24" s="228">
        <v>5.9639999999999999E-2</v>
      </c>
      <c r="X24" s="228">
        <v>0.20962</v>
      </c>
      <c r="Y24" s="228">
        <v>67.846000000000004</v>
      </c>
      <c r="Z24" s="257">
        <v>0.64307000000000003</v>
      </c>
      <c r="AA24" s="257">
        <v>0.35693000000000003</v>
      </c>
      <c r="AB24" s="228">
        <v>7.7210000000000001</v>
      </c>
      <c r="AC24" s="228">
        <v>0.12336</v>
      </c>
      <c r="AD24" s="228">
        <v>0.87663999999999997</v>
      </c>
      <c r="AE24" s="228">
        <v>0.95299999999999996</v>
      </c>
      <c r="AF24" s="228">
        <v>7465.69</v>
      </c>
      <c r="AG24" s="228">
        <v>1.1000000000000001</v>
      </c>
      <c r="AH24" s="228">
        <v>1.0043</v>
      </c>
      <c r="AI24" s="298">
        <v>8.7849999999999994E-3</v>
      </c>
      <c r="AJ24" s="298">
        <v>8.1379999999999994E-3</v>
      </c>
      <c r="AK24" s="298">
        <v>8.0850000000000002E-3</v>
      </c>
      <c r="AL24" s="228">
        <v>1.0488090000000001</v>
      </c>
    </row>
    <row r="25" spans="3:38" x14ac:dyDescent="0.2">
      <c r="C25" s="2">
        <v>44958</v>
      </c>
      <c r="D25" s="2" t="s">
        <v>129</v>
      </c>
      <c r="E25" s="276" t="s">
        <v>48</v>
      </c>
      <c r="F25" s="227">
        <v>546</v>
      </c>
      <c r="G25" s="256">
        <v>0.72697000000000001</v>
      </c>
      <c r="H25" s="256">
        <v>5.9339999999999997E-2</v>
      </c>
      <c r="I25" s="256">
        <v>0.21368999999999999</v>
      </c>
      <c r="J25" s="258">
        <v>72.837000000000003</v>
      </c>
      <c r="K25" s="256">
        <v>0.54988000000000004</v>
      </c>
      <c r="L25" s="256">
        <v>0.45012000000000002</v>
      </c>
      <c r="M25" s="258">
        <v>11.917999999999999</v>
      </c>
      <c r="N25" s="256">
        <v>0.15295</v>
      </c>
      <c r="O25" s="256">
        <v>0.84704999999999997</v>
      </c>
      <c r="P25" s="258">
        <v>1.107</v>
      </c>
      <c r="Q25" s="253">
        <v>7940</v>
      </c>
      <c r="R25" s="229">
        <v>1.1000000000000001</v>
      </c>
      <c r="S25" s="254">
        <v>1.0046999999999999</v>
      </c>
      <c r="T25" s="276" t="s">
        <v>56</v>
      </c>
      <c r="U25" s="258">
        <v>523.88</v>
      </c>
      <c r="V25" s="229">
        <v>0.73073999999999995</v>
      </c>
      <c r="W25" s="229">
        <v>5.9639999999999999E-2</v>
      </c>
      <c r="X25" s="229">
        <v>0.20962</v>
      </c>
      <c r="Y25" s="258">
        <v>67.846000000000004</v>
      </c>
      <c r="Z25" s="256">
        <v>0.64307000000000003</v>
      </c>
      <c r="AA25" s="256">
        <v>0.35693000000000003</v>
      </c>
      <c r="AB25" s="258">
        <v>7.7210000000000001</v>
      </c>
      <c r="AC25" s="229">
        <v>0.12336</v>
      </c>
      <c r="AD25" s="229">
        <v>0.87663999999999997</v>
      </c>
      <c r="AE25" s="258">
        <v>0.95299999999999996</v>
      </c>
      <c r="AF25" s="229">
        <v>7465.69</v>
      </c>
      <c r="AG25" s="229">
        <v>1.1000000000000001</v>
      </c>
      <c r="AH25" s="229">
        <v>1.0043</v>
      </c>
      <c r="AI25" s="299">
        <v>8.7849999999999994E-3</v>
      </c>
      <c r="AJ25" s="299">
        <v>8.1379999999999994E-3</v>
      </c>
      <c r="AK25" s="299">
        <v>8.0850000000000002E-3</v>
      </c>
      <c r="AL25" s="229">
        <v>1.0488090000000001</v>
      </c>
    </row>
    <row r="26" spans="3:38" ht="13.5" thickBot="1" x14ac:dyDescent="0.25">
      <c r="C26" s="57">
        <v>44986</v>
      </c>
      <c r="D26" s="57" t="s">
        <v>129</v>
      </c>
      <c r="E26" s="339" t="s">
        <v>48</v>
      </c>
      <c r="F26" s="340">
        <v>546</v>
      </c>
      <c r="G26" s="341">
        <v>0.72697000000000001</v>
      </c>
      <c r="H26" s="341">
        <v>5.9339999999999997E-2</v>
      </c>
      <c r="I26" s="341">
        <v>0.21368999999999999</v>
      </c>
      <c r="J26" s="342">
        <v>72.837000000000003</v>
      </c>
      <c r="K26" s="341">
        <v>0.54988000000000004</v>
      </c>
      <c r="L26" s="341">
        <v>0.45012000000000002</v>
      </c>
      <c r="M26" s="342">
        <v>11.917999999999999</v>
      </c>
      <c r="N26" s="341">
        <v>0.15295</v>
      </c>
      <c r="O26" s="341">
        <v>0.84704999999999997</v>
      </c>
      <c r="P26" s="342">
        <v>1.107</v>
      </c>
      <c r="Q26" s="340">
        <v>7940</v>
      </c>
      <c r="R26" s="342">
        <v>1.1000000000000001</v>
      </c>
      <c r="S26" s="343">
        <v>1.0046999999999999</v>
      </c>
      <c r="T26" s="344" t="s">
        <v>56</v>
      </c>
      <c r="U26" s="342">
        <v>523.88</v>
      </c>
      <c r="V26" s="342">
        <v>0.73073999999999995</v>
      </c>
      <c r="W26" s="342">
        <v>5.9639999999999999E-2</v>
      </c>
      <c r="X26" s="342">
        <v>0.20962</v>
      </c>
      <c r="Y26" s="342">
        <v>67.846000000000004</v>
      </c>
      <c r="Z26" s="341">
        <v>0.64307000000000003</v>
      </c>
      <c r="AA26" s="341">
        <v>0.35693000000000003</v>
      </c>
      <c r="AB26" s="342">
        <v>7.7210000000000001</v>
      </c>
      <c r="AC26" s="342">
        <v>0.12336</v>
      </c>
      <c r="AD26" s="342">
        <v>0.87663999999999997</v>
      </c>
      <c r="AE26" s="342">
        <v>0.95299999999999996</v>
      </c>
      <c r="AF26" s="342">
        <v>7465.69</v>
      </c>
      <c r="AG26" s="342">
        <v>1.1000000000000001</v>
      </c>
      <c r="AH26" s="342">
        <v>1.0043</v>
      </c>
      <c r="AI26" s="345">
        <v>8.7849999999999994E-3</v>
      </c>
      <c r="AJ26" s="345">
        <v>8.1379999999999994E-3</v>
      </c>
      <c r="AK26" s="345">
        <v>8.0850000000000002E-3</v>
      </c>
      <c r="AL26" s="342">
        <v>1.0488090000000001</v>
      </c>
    </row>
  </sheetData>
  <mergeCells count="25">
    <mergeCell ref="T6:AH6"/>
    <mergeCell ref="AI6:AL6"/>
    <mergeCell ref="C7:C8"/>
    <mergeCell ref="P7:P8"/>
    <mergeCell ref="F6:S6"/>
    <mergeCell ref="AI7:AI8"/>
    <mergeCell ref="D7:D8"/>
    <mergeCell ref="E7:E8"/>
    <mergeCell ref="AE7:AE8"/>
    <mergeCell ref="AF7:AF8"/>
    <mergeCell ref="AG7:AG8"/>
    <mergeCell ref="AH7:AH8"/>
    <mergeCell ref="AB7:AD7"/>
    <mergeCell ref="U7:X7"/>
    <mergeCell ref="R7:R8"/>
    <mergeCell ref="AJ7:AJ8"/>
    <mergeCell ref="AK7:AK8"/>
    <mergeCell ref="AL7:AL8"/>
    <mergeCell ref="Q7:Q8"/>
    <mergeCell ref="F7:I7"/>
    <mergeCell ref="J7:L7"/>
    <mergeCell ref="M7:O7"/>
    <mergeCell ref="Y7:AA7"/>
    <mergeCell ref="T7:T8"/>
    <mergeCell ref="S7:S8"/>
  </mergeCells>
  <phoneticPr fontId="30" type="noConversion"/>
  <hyperlinks>
    <hyperlink ref="S1" r:id="rId1" xr:uid="{F8025A31-B4F3-4FB9-BD11-84AACAFCC644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09DCE-F815-409D-B2C9-568C1AB29167}">
  <dimension ref="B2:U63"/>
  <sheetViews>
    <sheetView topLeftCell="A22" workbookViewId="0">
      <selection activeCell="G55" sqref="G55"/>
    </sheetView>
  </sheetViews>
  <sheetFormatPr baseColWidth="10" defaultColWidth="11.42578125" defaultRowHeight="12.75" x14ac:dyDescent="0.2"/>
  <cols>
    <col min="1" max="7" width="11.42578125" style="210"/>
    <col min="8" max="8" width="11" style="210" bestFit="1" customWidth="1"/>
    <col min="9" max="9" width="9.42578125" style="210" bestFit="1" customWidth="1"/>
    <col min="10" max="10" width="16.85546875" style="210" bestFit="1" customWidth="1"/>
    <col min="11" max="11" width="9.42578125" style="210" bestFit="1" customWidth="1"/>
    <col min="12" max="16384" width="11.42578125" style="210"/>
  </cols>
  <sheetData>
    <row r="2" spans="2:21" x14ac:dyDescent="0.2">
      <c r="B2" s="219" t="s">
        <v>22</v>
      </c>
      <c r="C2" s="219" t="s">
        <v>6</v>
      </c>
      <c r="D2" s="220" t="s">
        <v>0</v>
      </c>
      <c r="E2" s="219" t="s">
        <v>9</v>
      </c>
      <c r="F2" s="219" t="s">
        <v>4</v>
      </c>
      <c r="H2" s="219" t="s">
        <v>17</v>
      </c>
      <c r="I2" s="219" t="s">
        <v>20</v>
      </c>
      <c r="J2" s="219" t="s">
        <v>18</v>
      </c>
      <c r="K2" s="219" t="s">
        <v>19</v>
      </c>
    </row>
    <row r="3" spans="2:21" x14ac:dyDescent="0.2">
      <c r="B3" s="2">
        <v>43466</v>
      </c>
      <c r="C3" s="3">
        <v>677.06</v>
      </c>
      <c r="D3" s="11">
        <v>100.75</v>
      </c>
      <c r="E3" s="19">
        <v>218.9</v>
      </c>
      <c r="F3" s="19">
        <v>199.1</v>
      </c>
      <c r="H3" s="221">
        <f t="shared" ref="H3:H39" si="0">+C3/O$7</f>
        <v>0.87190449821642435</v>
      </c>
      <c r="I3" s="222">
        <f t="shared" ref="I3:I39" si="1">+D3/R$7</f>
        <v>0.97295992274263643</v>
      </c>
      <c r="J3" s="221">
        <f t="shared" ref="J3:J39" si="2">+E3/P$7</f>
        <v>0.98470535312640572</v>
      </c>
      <c r="K3" s="221">
        <f t="shared" ref="K3:K39" si="3">+F3/Q$7</f>
        <v>0.99400898652021963</v>
      </c>
    </row>
    <row r="4" spans="2:21" x14ac:dyDescent="0.2">
      <c r="B4" s="38">
        <v>43497</v>
      </c>
      <c r="C4" s="39">
        <v>656.3</v>
      </c>
      <c r="D4" s="40">
        <v>100.79</v>
      </c>
      <c r="E4" s="41">
        <v>220.3</v>
      </c>
      <c r="F4" s="41">
        <v>199.2</v>
      </c>
      <c r="H4" s="223">
        <f t="shared" si="0"/>
        <v>0.84517018016045742</v>
      </c>
      <c r="I4" s="224">
        <f t="shared" si="1"/>
        <v>0.97334620956059881</v>
      </c>
      <c r="J4" s="223">
        <f t="shared" si="2"/>
        <v>0.99100314889788577</v>
      </c>
      <c r="K4" s="223">
        <f t="shared" si="3"/>
        <v>0.99450823764353458</v>
      </c>
    </row>
    <row r="5" spans="2:21" x14ac:dyDescent="0.2">
      <c r="B5" s="2">
        <v>43525</v>
      </c>
      <c r="C5" s="3">
        <v>667.68</v>
      </c>
      <c r="D5" s="11">
        <v>101.27</v>
      </c>
      <c r="E5" s="19">
        <v>220.4</v>
      </c>
      <c r="F5" s="19">
        <v>200.8</v>
      </c>
      <c r="H5" s="221">
        <f t="shared" si="0"/>
        <v>0.85982511944161844</v>
      </c>
      <c r="I5" s="222">
        <f t="shared" si="1"/>
        <v>0.97798165137614679</v>
      </c>
      <c r="J5" s="221">
        <f t="shared" si="2"/>
        <v>0.99145299145299148</v>
      </c>
      <c r="K5" s="221">
        <f t="shared" si="3"/>
        <v>1.0024962556165751</v>
      </c>
      <c r="O5" s="327" t="s">
        <v>112</v>
      </c>
      <c r="P5" s="327"/>
      <c r="Q5" s="327"/>
      <c r="R5" s="327"/>
      <c r="T5" s="328" t="s">
        <v>111</v>
      </c>
      <c r="U5" s="328"/>
    </row>
    <row r="6" spans="2:21" x14ac:dyDescent="0.2">
      <c r="B6" s="38">
        <v>43556</v>
      </c>
      <c r="C6" s="39">
        <v>667.4</v>
      </c>
      <c r="D6" s="40">
        <v>101.54</v>
      </c>
      <c r="E6" s="41">
        <v>221</v>
      </c>
      <c r="F6" s="41">
        <v>202.1</v>
      </c>
      <c r="H6" s="223">
        <f t="shared" si="0"/>
        <v>0.85946454097072877</v>
      </c>
      <c r="I6" s="224">
        <f t="shared" si="1"/>
        <v>0.9805890873973927</v>
      </c>
      <c r="J6" s="223">
        <f t="shared" si="2"/>
        <v>0.99415204678362568</v>
      </c>
      <c r="K6" s="223">
        <f t="shared" si="3"/>
        <v>1.0089865202196704</v>
      </c>
      <c r="N6" s="219" t="s">
        <v>110</v>
      </c>
      <c r="O6" s="219" t="s">
        <v>109</v>
      </c>
      <c r="P6" s="219" t="s">
        <v>9</v>
      </c>
      <c r="Q6" s="219" t="s">
        <v>4</v>
      </c>
      <c r="R6" s="219" t="s">
        <v>0</v>
      </c>
      <c r="T6" s="251" t="s">
        <v>108</v>
      </c>
      <c r="U6" s="251" t="s">
        <v>107</v>
      </c>
    </row>
    <row r="7" spans="2:21" x14ac:dyDescent="0.2">
      <c r="B7" s="2">
        <v>43586</v>
      </c>
      <c r="C7" s="3">
        <v>692</v>
      </c>
      <c r="D7" s="11">
        <v>102.15</v>
      </c>
      <c r="E7" s="19">
        <v>221.9</v>
      </c>
      <c r="F7" s="19">
        <v>201.7</v>
      </c>
      <c r="H7" s="221">
        <f t="shared" si="0"/>
        <v>0.89114393519889767</v>
      </c>
      <c r="I7" s="222">
        <f t="shared" si="1"/>
        <v>0.98647996137131833</v>
      </c>
      <c r="J7" s="221">
        <f t="shared" si="2"/>
        <v>0.99820062977957713</v>
      </c>
      <c r="K7" s="221">
        <f t="shared" si="3"/>
        <v>1.0069895157264104</v>
      </c>
      <c r="N7" s="218">
        <v>43831</v>
      </c>
      <c r="O7" s="250">
        <v>776.53</v>
      </c>
      <c r="P7" s="250">
        <v>222.3</v>
      </c>
      <c r="Q7" s="250">
        <v>200.3</v>
      </c>
      <c r="R7" s="250">
        <v>103.55</v>
      </c>
      <c r="T7" s="252">
        <v>4</v>
      </c>
      <c r="U7" s="252">
        <v>2</v>
      </c>
    </row>
    <row r="8" spans="2:21" x14ac:dyDescent="0.2">
      <c r="B8" s="38">
        <v>43617</v>
      </c>
      <c r="C8" s="39">
        <v>692.41</v>
      </c>
      <c r="D8" s="40">
        <v>102.2</v>
      </c>
      <c r="E8" s="41">
        <v>222.3</v>
      </c>
      <c r="F8" s="41">
        <v>200.3</v>
      </c>
      <c r="H8" s="223">
        <f t="shared" si="0"/>
        <v>0.89167192510270044</v>
      </c>
      <c r="I8" s="224">
        <f t="shared" si="1"/>
        <v>0.98696281989377121</v>
      </c>
      <c r="J8" s="223">
        <f t="shared" si="2"/>
        <v>1</v>
      </c>
      <c r="K8" s="223">
        <f t="shared" si="3"/>
        <v>1</v>
      </c>
      <c r="O8" s="210">
        <v>921.01</v>
      </c>
      <c r="P8" s="210">
        <v>247.43899999999999</v>
      </c>
      <c r="Q8" s="210">
        <v>265.31</v>
      </c>
      <c r="R8" s="210">
        <v>126.75</v>
      </c>
    </row>
    <row r="9" spans="2:21" x14ac:dyDescent="0.2">
      <c r="B9" s="194">
        <v>43647</v>
      </c>
      <c r="C9" s="202">
        <v>686.06</v>
      </c>
      <c r="D9" s="203">
        <v>102.43</v>
      </c>
      <c r="E9" s="196">
        <v>222.7</v>
      </c>
      <c r="F9" s="196">
        <v>200.7</v>
      </c>
      <c r="H9" s="225">
        <f t="shared" si="0"/>
        <v>0.88349452049502264</v>
      </c>
      <c r="I9" s="226">
        <f t="shared" si="1"/>
        <v>0.98918396909705464</v>
      </c>
      <c r="J9" s="225">
        <f t="shared" si="2"/>
        <v>1.0017993702204226</v>
      </c>
      <c r="K9" s="225">
        <f t="shared" si="3"/>
        <v>1.00199700449326</v>
      </c>
      <c r="O9" s="210">
        <f>+O8/O7</f>
        <v>1.1860584909790994</v>
      </c>
      <c r="P9" s="210">
        <f t="shared" ref="P9:R9" si="4">+P8/P7</f>
        <v>1.1130859199280252</v>
      </c>
      <c r="Q9" s="210">
        <f t="shared" si="4"/>
        <v>1.3245631552670993</v>
      </c>
      <c r="R9" s="210">
        <f t="shared" si="4"/>
        <v>1.2240463544181555</v>
      </c>
    </row>
    <row r="10" spans="2:21" x14ac:dyDescent="0.2">
      <c r="B10" s="38">
        <v>43678</v>
      </c>
      <c r="C10" s="39">
        <v>713.7</v>
      </c>
      <c r="D10" s="40">
        <v>102.62</v>
      </c>
      <c r="E10" s="41">
        <v>223.3</v>
      </c>
      <c r="F10" s="41">
        <v>199.2</v>
      </c>
      <c r="H10" s="223">
        <f t="shared" si="0"/>
        <v>0.91908876669285167</v>
      </c>
      <c r="I10" s="224">
        <f t="shared" si="1"/>
        <v>0.99101883148237568</v>
      </c>
      <c r="J10" s="223">
        <f t="shared" si="2"/>
        <v>1.0044984255510572</v>
      </c>
      <c r="K10" s="223">
        <f t="shared" si="3"/>
        <v>0.99450823764353458</v>
      </c>
    </row>
    <row r="11" spans="2:21" x14ac:dyDescent="0.2">
      <c r="B11" s="194">
        <v>43709</v>
      </c>
      <c r="C11" s="202">
        <v>718.44</v>
      </c>
      <c r="D11" s="203">
        <v>102.63</v>
      </c>
      <c r="E11" s="196">
        <v>223.7</v>
      </c>
      <c r="F11" s="196">
        <v>198.4</v>
      </c>
      <c r="H11" s="225">
        <f t="shared" si="0"/>
        <v>0.92519284509291344</v>
      </c>
      <c r="I11" s="226">
        <f t="shared" si="1"/>
        <v>0.9911154031868662</v>
      </c>
      <c r="J11" s="225">
        <f t="shared" si="2"/>
        <v>1.0062977957714798</v>
      </c>
      <c r="K11" s="225">
        <f t="shared" si="3"/>
        <v>0.99051422865701444</v>
      </c>
    </row>
    <row r="12" spans="2:21" x14ac:dyDescent="0.2">
      <c r="B12" s="38">
        <v>43739</v>
      </c>
      <c r="C12" s="39">
        <v>721.03</v>
      </c>
      <c r="D12" s="40">
        <v>103.47</v>
      </c>
      <c r="E12" s="41">
        <v>223.2</v>
      </c>
      <c r="F12" s="41">
        <v>198.6</v>
      </c>
      <c r="H12" s="223">
        <f t="shared" si="0"/>
        <v>0.92852819594864333</v>
      </c>
      <c r="I12" s="224">
        <f t="shared" si="1"/>
        <v>0.99922742636407536</v>
      </c>
      <c r="J12" s="223">
        <f t="shared" si="2"/>
        <v>1.0040485829959513</v>
      </c>
      <c r="K12" s="223">
        <f t="shared" si="3"/>
        <v>0.99151273090364445</v>
      </c>
    </row>
    <row r="13" spans="2:21" x14ac:dyDescent="0.2">
      <c r="B13" s="2">
        <v>43770</v>
      </c>
      <c r="C13" s="3">
        <v>776.53</v>
      </c>
      <c r="D13" s="11">
        <v>103.55</v>
      </c>
      <c r="E13" s="19">
        <v>223.8</v>
      </c>
      <c r="F13" s="19">
        <v>199</v>
      </c>
      <c r="H13" s="221">
        <f t="shared" si="0"/>
        <v>1</v>
      </c>
      <c r="I13" s="222">
        <f t="shared" si="1"/>
        <v>1</v>
      </c>
      <c r="J13" s="221">
        <f t="shared" si="2"/>
        <v>1.0067476383265856</v>
      </c>
      <c r="K13" s="221">
        <f t="shared" si="3"/>
        <v>0.99350973539690457</v>
      </c>
    </row>
    <row r="14" spans="2:21" x14ac:dyDescent="0.2">
      <c r="B14" s="38">
        <v>43800</v>
      </c>
      <c r="C14" s="39">
        <v>770.39</v>
      </c>
      <c r="D14" s="40">
        <v>103.66</v>
      </c>
      <c r="E14" s="41">
        <v>224.9</v>
      </c>
      <c r="F14" s="41">
        <v>199</v>
      </c>
      <c r="H14" s="223">
        <f t="shared" si="0"/>
        <v>0.99209302924548959</v>
      </c>
      <c r="I14" s="224">
        <f t="shared" si="1"/>
        <v>1.0010622887493965</v>
      </c>
      <c r="J14" s="223">
        <f t="shared" si="2"/>
        <v>1.0116959064327484</v>
      </c>
      <c r="K14" s="223">
        <f t="shared" si="3"/>
        <v>0.99350973539690457</v>
      </c>
    </row>
    <row r="15" spans="2:21" x14ac:dyDescent="0.2">
      <c r="B15" s="2">
        <v>43831</v>
      </c>
      <c r="C15" s="3">
        <v>772.65</v>
      </c>
      <c r="D15" s="11">
        <v>104.24</v>
      </c>
      <c r="E15" s="19">
        <v>226.2</v>
      </c>
      <c r="F15" s="19">
        <v>199.3</v>
      </c>
      <c r="H15" s="221">
        <f t="shared" si="0"/>
        <v>0.99500341261767089</v>
      </c>
      <c r="I15" s="222">
        <f t="shared" si="1"/>
        <v>1.0066634476098504</v>
      </c>
      <c r="J15" s="221">
        <f t="shared" si="2"/>
        <v>1.0175438596491226</v>
      </c>
      <c r="K15" s="221">
        <f t="shared" si="3"/>
        <v>0.99500748876684975</v>
      </c>
    </row>
    <row r="16" spans="2:21" x14ac:dyDescent="0.2">
      <c r="B16" s="38">
        <v>43862</v>
      </c>
      <c r="C16" s="39">
        <v>796.38</v>
      </c>
      <c r="D16" s="40">
        <v>104.71</v>
      </c>
      <c r="E16" s="41">
        <v>226.8</v>
      </c>
      <c r="F16" s="41">
        <v>196.7</v>
      </c>
      <c r="H16" s="223">
        <f t="shared" si="0"/>
        <v>1.0255624380255755</v>
      </c>
      <c r="I16" s="224">
        <f t="shared" si="1"/>
        <v>1.0112023177209077</v>
      </c>
      <c r="J16" s="223">
        <f t="shared" si="2"/>
        <v>1.0202429149797572</v>
      </c>
      <c r="K16" s="223">
        <f t="shared" si="3"/>
        <v>0.98202695956065889</v>
      </c>
    </row>
    <row r="17" spans="2:15" x14ac:dyDescent="0.2">
      <c r="B17" s="2">
        <v>43891</v>
      </c>
      <c r="C17" s="3">
        <v>839.38</v>
      </c>
      <c r="D17" s="11">
        <v>105.06</v>
      </c>
      <c r="E17" s="19">
        <v>227.2</v>
      </c>
      <c r="F17" s="19">
        <v>193.1</v>
      </c>
      <c r="H17" s="221">
        <f t="shared" si="0"/>
        <v>1.080936988912212</v>
      </c>
      <c r="I17" s="222">
        <f t="shared" si="1"/>
        <v>1.0145823273780783</v>
      </c>
      <c r="J17" s="221">
        <f t="shared" si="2"/>
        <v>1.0220422852001798</v>
      </c>
      <c r="K17" s="221">
        <f t="shared" si="3"/>
        <v>0.96405391912131799</v>
      </c>
    </row>
    <row r="18" spans="2:15" x14ac:dyDescent="0.2">
      <c r="B18" s="38">
        <v>43922</v>
      </c>
      <c r="C18" s="39">
        <v>853.38</v>
      </c>
      <c r="D18" s="40">
        <v>105.01</v>
      </c>
      <c r="E18" s="41">
        <v>227.2</v>
      </c>
      <c r="F18" s="41">
        <v>185.5</v>
      </c>
      <c r="H18" s="223">
        <f t="shared" si="0"/>
        <v>1.0989659124566984</v>
      </c>
      <c r="I18" s="224">
        <f t="shared" si="1"/>
        <v>1.0140994688556253</v>
      </c>
      <c r="J18" s="223">
        <f t="shared" si="2"/>
        <v>1.0220422852001798</v>
      </c>
      <c r="K18" s="223">
        <f t="shared" si="3"/>
        <v>0.92611083374937586</v>
      </c>
    </row>
    <row r="19" spans="2:15" x14ac:dyDescent="0.2">
      <c r="B19" s="2">
        <v>43952</v>
      </c>
      <c r="C19" s="3">
        <v>821.81</v>
      </c>
      <c r="D19" s="11">
        <v>104.96</v>
      </c>
      <c r="E19" s="19">
        <v>227.7</v>
      </c>
      <c r="F19" s="19">
        <v>188.6</v>
      </c>
      <c r="H19" s="221">
        <f t="shared" si="0"/>
        <v>1.0583106898638817</v>
      </c>
      <c r="I19" s="222">
        <f t="shared" si="1"/>
        <v>1.0136166103331723</v>
      </c>
      <c r="J19" s="221">
        <f t="shared" si="2"/>
        <v>1.0242914979757085</v>
      </c>
      <c r="K19" s="221">
        <f t="shared" si="3"/>
        <v>0.94158761857214168</v>
      </c>
    </row>
    <row r="20" spans="2:15" x14ac:dyDescent="0.2">
      <c r="B20" s="38">
        <v>43983</v>
      </c>
      <c r="C20" s="39">
        <v>793.72</v>
      </c>
      <c r="D20" s="40">
        <v>104.89</v>
      </c>
      <c r="E20" s="41">
        <v>229.3</v>
      </c>
      <c r="F20" s="41">
        <v>191.2</v>
      </c>
      <c r="H20" s="223">
        <f t="shared" si="0"/>
        <v>1.022136942552123</v>
      </c>
      <c r="I20" s="224">
        <f t="shared" si="1"/>
        <v>1.0129406084017383</v>
      </c>
      <c r="J20" s="223">
        <f t="shared" si="2"/>
        <v>1.0314889788574</v>
      </c>
      <c r="K20" s="223">
        <f t="shared" si="3"/>
        <v>0.95456814777833243</v>
      </c>
    </row>
    <row r="21" spans="2:15" x14ac:dyDescent="0.2">
      <c r="B21" s="2">
        <v>44013</v>
      </c>
      <c r="C21" s="3">
        <v>784.73</v>
      </c>
      <c r="D21" s="11">
        <v>104.99</v>
      </c>
      <c r="E21" s="19">
        <v>229.8</v>
      </c>
      <c r="F21" s="19">
        <v>193</v>
      </c>
      <c r="H21" s="221">
        <f t="shared" si="0"/>
        <v>1.0105597980760563</v>
      </c>
      <c r="I21" s="222">
        <f t="shared" si="1"/>
        <v>1.0139063254466441</v>
      </c>
      <c r="J21" s="221">
        <f t="shared" si="2"/>
        <v>1.0337381916329285</v>
      </c>
      <c r="K21" s="221">
        <f t="shared" si="3"/>
        <v>0.96355466799800293</v>
      </c>
    </row>
    <row r="22" spans="2:15" x14ac:dyDescent="0.2">
      <c r="B22" s="38">
        <v>44044</v>
      </c>
      <c r="C22" s="39">
        <v>784.66</v>
      </c>
      <c r="D22" s="40">
        <v>105.13</v>
      </c>
      <c r="E22" s="41">
        <v>229.3</v>
      </c>
      <c r="F22" s="41">
        <v>194.3</v>
      </c>
      <c r="H22" s="223">
        <f t="shared" si="0"/>
        <v>1.0104696534583339</v>
      </c>
      <c r="I22" s="224">
        <f t="shared" si="1"/>
        <v>1.0152583293095123</v>
      </c>
      <c r="J22" s="223">
        <f t="shared" si="2"/>
        <v>1.0314889788574</v>
      </c>
      <c r="K22" s="223">
        <f t="shared" si="3"/>
        <v>0.97004493260109836</v>
      </c>
    </row>
    <row r="23" spans="2:15" x14ac:dyDescent="0.2">
      <c r="B23" s="2">
        <v>44075</v>
      </c>
      <c r="C23" s="3">
        <v>773.4</v>
      </c>
      <c r="D23" s="11">
        <v>105.8</v>
      </c>
      <c r="E23" s="19">
        <v>229.6</v>
      </c>
      <c r="F23" s="19">
        <v>195.5</v>
      </c>
      <c r="H23" s="221">
        <f t="shared" si="0"/>
        <v>0.99596924780755414</v>
      </c>
      <c r="I23" s="222">
        <f t="shared" si="1"/>
        <v>1.0217286335103815</v>
      </c>
      <c r="J23" s="221">
        <f t="shared" si="2"/>
        <v>1.032838506522717</v>
      </c>
      <c r="K23" s="221">
        <f t="shared" si="3"/>
        <v>0.97603594608087862</v>
      </c>
    </row>
    <row r="24" spans="2:15" x14ac:dyDescent="0.2">
      <c r="B24" s="38">
        <v>44105</v>
      </c>
      <c r="C24" s="39">
        <v>788.27</v>
      </c>
      <c r="D24" s="40">
        <v>106.52</v>
      </c>
      <c r="E24" s="41">
        <v>229.9</v>
      </c>
      <c r="F24" s="41">
        <v>196.5</v>
      </c>
      <c r="H24" s="223">
        <f t="shared" si="0"/>
        <v>1.0151185401723051</v>
      </c>
      <c r="I24" s="224">
        <f t="shared" si="1"/>
        <v>1.0286817962337036</v>
      </c>
      <c r="J24" s="223">
        <f t="shared" si="2"/>
        <v>1.0341880341880341</v>
      </c>
      <c r="K24" s="223">
        <f t="shared" si="3"/>
        <v>0.98102845731402888</v>
      </c>
      <c r="O24" s="231"/>
    </row>
    <row r="25" spans="2:15" x14ac:dyDescent="0.2">
      <c r="B25" s="2">
        <v>44136</v>
      </c>
      <c r="C25" s="3">
        <v>762.88</v>
      </c>
      <c r="D25" s="11">
        <v>106.38</v>
      </c>
      <c r="E25" s="19">
        <v>230.5</v>
      </c>
      <c r="F25" s="19">
        <v>198.3</v>
      </c>
      <c r="H25" s="221">
        <f t="shared" si="0"/>
        <v>0.98242179954412578</v>
      </c>
      <c r="I25" s="222">
        <f t="shared" si="1"/>
        <v>1.0273297923708353</v>
      </c>
      <c r="J25" s="221">
        <f t="shared" si="2"/>
        <v>1.0368870895186684</v>
      </c>
      <c r="K25" s="221">
        <f t="shared" si="3"/>
        <v>0.99001497753369949</v>
      </c>
      <c r="O25" s="231"/>
    </row>
    <row r="26" spans="2:15" x14ac:dyDescent="0.2">
      <c r="B26" s="38">
        <v>44166</v>
      </c>
      <c r="C26" s="39">
        <v>734.73</v>
      </c>
      <c r="D26" s="40">
        <v>106.74</v>
      </c>
      <c r="E26" s="41">
        <v>230.9</v>
      </c>
      <c r="F26" s="41">
        <v>200.5</v>
      </c>
      <c r="H26" s="223">
        <f t="shared" si="0"/>
        <v>0.94617078541717647</v>
      </c>
      <c r="I26" s="224">
        <f t="shared" si="1"/>
        <v>1.0308063737324964</v>
      </c>
      <c r="J26" s="223">
        <f t="shared" si="2"/>
        <v>1.0386864597390912</v>
      </c>
      <c r="K26" s="223">
        <f t="shared" si="3"/>
        <v>1.0009985022466299</v>
      </c>
      <c r="O26" s="231"/>
    </row>
    <row r="27" spans="2:15" x14ac:dyDescent="0.2">
      <c r="B27" s="2">
        <v>44197</v>
      </c>
      <c r="C27" s="3">
        <v>723.56</v>
      </c>
      <c r="D27" s="11">
        <v>107.49</v>
      </c>
      <c r="E27" s="19">
        <v>231.2</v>
      </c>
      <c r="F27" s="19">
        <v>204.8</v>
      </c>
      <c r="H27" s="221">
        <f t="shared" si="0"/>
        <v>0.93178627998918262</v>
      </c>
      <c r="I27" s="222">
        <f t="shared" si="1"/>
        <v>1.0380492515692903</v>
      </c>
      <c r="J27" s="221">
        <f t="shared" si="2"/>
        <v>1.0400359874044083</v>
      </c>
      <c r="K27" s="221">
        <f t="shared" si="3"/>
        <v>1.0224663005491763</v>
      </c>
      <c r="O27" s="231"/>
    </row>
    <row r="28" spans="2:15" x14ac:dyDescent="0.2">
      <c r="B28" s="38">
        <v>44228</v>
      </c>
      <c r="C28" s="39">
        <v>722.63</v>
      </c>
      <c r="D28" s="40">
        <v>107.69</v>
      </c>
      <c r="E28" s="41">
        <v>231.7</v>
      </c>
      <c r="F28" s="41">
        <v>210.6</v>
      </c>
      <c r="H28" s="223">
        <f t="shared" si="0"/>
        <v>0.93058864435372746</v>
      </c>
      <c r="I28" s="224">
        <f t="shared" si="1"/>
        <v>1.0399806856591018</v>
      </c>
      <c r="J28" s="223">
        <f t="shared" si="2"/>
        <v>1.042285200179937</v>
      </c>
      <c r="K28" s="223">
        <f t="shared" si="3"/>
        <v>1.0514228657014477</v>
      </c>
      <c r="O28" s="231"/>
    </row>
    <row r="29" spans="2:15" x14ac:dyDescent="0.2">
      <c r="B29" s="2">
        <v>44256</v>
      </c>
      <c r="C29" s="3">
        <v>726.37</v>
      </c>
      <c r="D29" s="11">
        <v>108.09</v>
      </c>
      <c r="E29" s="19">
        <v>232.1</v>
      </c>
      <c r="F29" s="19">
        <v>215</v>
      </c>
      <c r="H29" s="221">
        <f t="shared" si="0"/>
        <v>0.93540494250061168</v>
      </c>
      <c r="I29" s="222">
        <f t="shared" si="1"/>
        <v>1.0438435538387254</v>
      </c>
      <c r="J29" s="221">
        <f t="shared" si="2"/>
        <v>1.0440845704003598</v>
      </c>
      <c r="K29" s="221">
        <f t="shared" si="3"/>
        <v>1.073389915127309</v>
      </c>
      <c r="O29" s="231"/>
    </row>
    <row r="30" spans="2:15" x14ac:dyDescent="0.2">
      <c r="B30" s="38">
        <v>44287</v>
      </c>
      <c r="C30" s="39">
        <v>707.85</v>
      </c>
      <c r="D30" s="40">
        <v>108.5</v>
      </c>
      <c r="E30" s="41">
        <v>232.4</v>
      </c>
      <c r="F30" s="41">
        <v>217.9</v>
      </c>
      <c r="H30" s="223">
        <f t="shared" si="0"/>
        <v>0.9115552522117627</v>
      </c>
      <c r="I30" s="224">
        <f t="shared" si="1"/>
        <v>1.0478029937228392</v>
      </c>
      <c r="J30" s="223">
        <f t="shared" si="2"/>
        <v>1.0454340980656769</v>
      </c>
      <c r="K30" s="223">
        <f t="shared" si="3"/>
        <v>1.0878681977034448</v>
      </c>
      <c r="O30" s="231"/>
    </row>
    <row r="31" spans="2:15" x14ac:dyDescent="0.2">
      <c r="B31" s="2">
        <v>44317</v>
      </c>
      <c r="C31" s="3">
        <v>712.26</v>
      </c>
      <c r="D31" s="11">
        <v>108.79</v>
      </c>
      <c r="E31" s="19">
        <v>234.6</v>
      </c>
      <c r="F31" s="19">
        <v>224.9</v>
      </c>
      <c r="H31" s="221">
        <f t="shared" si="0"/>
        <v>0.91723436312827578</v>
      </c>
      <c r="I31" s="222">
        <f t="shared" si="1"/>
        <v>1.0506035731530663</v>
      </c>
      <c r="J31" s="221">
        <f t="shared" si="2"/>
        <v>1.0553306342780027</v>
      </c>
      <c r="K31" s="221">
        <f t="shared" si="3"/>
        <v>1.1228157763354967</v>
      </c>
      <c r="O31" s="231"/>
    </row>
    <row r="32" spans="2:15" x14ac:dyDescent="0.2">
      <c r="B32" s="38">
        <v>44348</v>
      </c>
      <c r="C32" s="39">
        <v>726.54</v>
      </c>
      <c r="D32" s="40">
        <v>108.88</v>
      </c>
      <c r="E32" s="41">
        <v>234.3</v>
      </c>
      <c r="F32" s="41">
        <v>228.9</v>
      </c>
      <c r="H32" s="223">
        <f t="shared" si="0"/>
        <v>0.93562386514365192</v>
      </c>
      <c r="I32" s="224">
        <f t="shared" si="1"/>
        <v>1.0514727184934813</v>
      </c>
      <c r="J32" s="223">
        <f t="shared" si="2"/>
        <v>1.0539811066126856</v>
      </c>
      <c r="K32" s="223">
        <f t="shared" si="3"/>
        <v>1.1427858212680979</v>
      </c>
      <c r="O32" s="231"/>
    </row>
    <row r="33" spans="2:15" x14ac:dyDescent="0.2">
      <c r="B33" s="2">
        <v>44378</v>
      </c>
      <c r="C33" s="3">
        <v>750.44</v>
      </c>
      <c r="D33" s="11">
        <v>109.76</v>
      </c>
      <c r="E33" s="266">
        <v>234.59200000000001</v>
      </c>
      <c r="F33" s="266">
        <v>231.85</v>
      </c>
      <c r="H33" s="221">
        <f t="shared" si="0"/>
        <v>0.96640181319459662</v>
      </c>
      <c r="I33" s="222">
        <f t="shared" si="1"/>
        <v>1.059971028488653</v>
      </c>
      <c r="J33" s="221">
        <f t="shared" si="2"/>
        <v>1.0552946468735942</v>
      </c>
      <c r="K33" s="221">
        <f t="shared" si="3"/>
        <v>1.157513729405891</v>
      </c>
      <c r="O33" s="231"/>
    </row>
    <row r="34" spans="2:15" x14ac:dyDescent="0.2">
      <c r="B34" s="38">
        <v>44409</v>
      </c>
      <c r="C34" s="39">
        <v>779.83</v>
      </c>
      <c r="D34" s="40">
        <v>110.15</v>
      </c>
      <c r="E34" s="267">
        <v>234.351</v>
      </c>
      <c r="F34" s="267">
        <v>233.41499999999999</v>
      </c>
      <c r="H34" s="223">
        <f t="shared" si="0"/>
        <v>1.0042496748354861</v>
      </c>
      <c r="I34" s="224">
        <f t="shared" si="1"/>
        <v>1.0637373249637856</v>
      </c>
      <c r="J34" s="223">
        <f t="shared" si="2"/>
        <v>1.0542105263157895</v>
      </c>
      <c r="K34" s="223">
        <f t="shared" si="3"/>
        <v>1.1653270094857713</v>
      </c>
      <c r="O34" s="231"/>
    </row>
    <row r="35" spans="2:15" x14ac:dyDescent="0.2">
      <c r="B35" s="2">
        <v>44440</v>
      </c>
      <c r="C35" s="3">
        <v>783.63</v>
      </c>
      <c r="D35" s="11">
        <v>111.45</v>
      </c>
      <c r="E35" s="266">
        <v>236.167</v>
      </c>
      <c r="F35" s="266">
        <v>235.678</v>
      </c>
      <c r="H35" s="221">
        <f t="shared" si="0"/>
        <v>1.009143239797561</v>
      </c>
      <c r="I35" s="222">
        <f t="shared" si="1"/>
        <v>1.0762916465475616</v>
      </c>
      <c r="J35" s="221">
        <f t="shared" si="2"/>
        <v>1.0623796671165091</v>
      </c>
      <c r="K35" s="221">
        <f t="shared" si="3"/>
        <v>1.1766250624063903</v>
      </c>
      <c r="O35" s="231"/>
    </row>
    <row r="36" spans="2:15" x14ac:dyDescent="0.2">
      <c r="B36" s="38">
        <v>44470</v>
      </c>
      <c r="C36" s="39">
        <v>813.95</v>
      </c>
      <c r="D36" s="40">
        <v>112.94</v>
      </c>
      <c r="E36" s="267">
        <v>236.761</v>
      </c>
      <c r="F36" s="267">
        <v>240.465</v>
      </c>
      <c r="H36" s="223">
        <f t="shared" si="0"/>
        <v>1.0481887370739058</v>
      </c>
      <c r="I36" s="224">
        <f t="shared" si="1"/>
        <v>1.0906808305166587</v>
      </c>
      <c r="J36" s="223">
        <f t="shared" si="2"/>
        <v>1.0650517318938371</v>
      </c>
      <c r="K36" s="223">
        <f t="shared" si="3"/>
        <v>1.2005242136794807</v>
      </c>
      <c r="O36" s="231"/>
    </row>
    <row r="37" spans="2:15" x14ac:dyDescent="0.2">
      <c r="B37" s="2">
        <v>44501</v>
      </c>
      <c r="C37" s="3">
        <v>812.62</v>
      </c>
      <c r="D37" s="11">
        <v>113.51</v>
      </c>
      <c r="E37" s="266">
        <v>237.08600000000001</v>
      </c>
      <c r="F37" s="266">
        <v>243.28700000000001</v>
      </c>
      <c r="H37" s="221">
        <f t="shared" si="0"/>
        <v>1.0464759893371796</v>
      </c>
      <c r="I37" s="222">
        <f t="shared" si="1"/>
        <v>1.096185417672622</v>
      </c>
      <c r="J37" s="221">
        <f t="shared" si="2"/>
        <v>1.0665137201979307</v>
      </c>
      <c r="K37" s="221">
        <f t="shared" si="3"/>
        <v>1.2146130803794308</v>
      </c>
      <c r="O37" s="231"/>
    </row>
    <row r="38" spans="2:15" x14ac:dyDescent="0.2">
      <c r="B38" s="38">
        <v>44531</v>
      </c>
      <c r="C38" s="39">
        <v>849.12</v>
      </c>
      <c r="D38" s="40">
        <v>114.39</v>
      </c>
      <c r="E38" s="267">
        <v>237.66900000000001</v>
      </c>
      <c r="F38" s="267">
        <v>241.33799999999999</v>
      </c>
      <c r="H38" s="223">
        <f t="shared" si="0"/>
        <v>1.0934799685781618</v>
      </c>
      <c r="I38" s="224">
        <f t="shared" si="1"/>
        <v>1.1046837276677934</v>
      </c>
      <c r="J38" s="223">
        <f t="shared" si="2"/>
        <v>1.0691363022941971</v>
      </c>
      <c r="K38" s="223">
        <f t="shared" si="3"/>
        <v>1.2048826759860209</v>
      </c>
      <c r="O38" s="231"/>
    </row>
    <row r="39" spans="2:15" x14ac:dyDescent="0.2">
      <c r="B39" s="2">
        <v>44562</v>
      </c>
      <c r="C39" s="3">
        <v>822.05</v>
      </c>
      <c r="D39" s="11">
        <v>115.77</v>
      </c>
      <c r="E39" s="266">
        <v>239.96700000000001</v>
      </c>
      <c r="F39" s="266">
        <v>246.453</v>
      </c>
      <c r="H39" s="221">
        <f t="shared" si="0"/>
        <v>1.0586197571246443</v>
      </c>
      <c r="I39" s="222">
        <f t="shared" si="1"/>
        <v>1.118010622887494</v>
      </c>
      <c r="J39" s="221">
        <f t="shared" si="2"/>
        <v>1.0794736842105264</v>
      </c>
      <c r="K39" s="221">
        <f t="shared" si="3"/>
        <v>1.2304193709435847</v>
      </c>
    </row>
    <row r="40" spans="2:15" x14ac:dyDescent="0.2">
      <c r="B40" s="38">
        <v>44593</v>
      </c>
      <c r="C40" s="39">
        <v>807.07</v>
      </c>
      <c r="D40" s="40">
        <v>116.1</v>
      </c>
      <c r="E40" s="267">
        <v>239.23699999999999</v>
      </c>
      <c r="F40" s="267">
        <v>252.66</v>
      </c>
      <c r="H40" s="223">
        <f t="shared" ref="H40:H41" si="5">+C40/O$7</f>
        <v>1.039328808932044</v>
      </c>
      <c r="I40" s="224">
        <f t="shared" ref="I40:I41" si="6">+D40/R$7</f>
        <v>1.1211974891356833</v>
      </c>
      <c r="J40" s="223">
        <f t="shared" ref="J40:J41" si="7">+E40/P$7</f>
        <v>1.0761898335582545</v>
      </c>
      <c r="K40" s="223">
        <f t="shared" ref="K40:K41" si="8">+F40/Q$7</f>
        <v>1.2614078881677482</v>
      </c>
    </row>
    <row r="41" spans="2:15" x14ac:dyDescent="0.2">
      <c r="B41" s="2">
        <v>44621</v>
      </c>
      <c r="C41" s="3">
        <v>799.19</v>
      </c>
      <c r="D41" s="11">
        <v>118.26</v>
      </c>
      <c r="E41" s="266">
        <v>241.803</v>
      </c>
      <c r="F41" s="266">
        <v>260.01400000000001</v>
      </c>
      <c r="H41" s="221">
        <f t="shared" si="5"/>
        <v>1.0291811005370044</v>
      </c>
      <c r="I41" s="222">
        <f t="shared" si="6"/>
        <v>1.1420569773056495</v>
      </c>
      <c r="J41" s="221">
        <f t="shared" si="7"/>
        <v>1.0877327935222671</v>
      </c>
      <c r="K41" s="221">
        <f t="shared" si="8"/>
        <v>1.2981228157763354</v>
      </c>
    </row>
    <row r="42" spans="2:15" x14ac:dyDescent="0.2">
      <c r="B42" s="38">
        <v>44652</v>
      </c>
      <c r="C42" s="39">
        <v>815.12</v>
      </c>
      <c r="D42" s="40">
        <v>119.91</v>
      </c>
      <c r="E42" s="267">
        <v>247.43899999999999</v>
      </c>
      <c r="F42" s="267">
        <v>265.31</v>
      </c>
      <c r="H42" s="223">
        <f t="shared" ref="H42" si="9">+C42/O$7</f>
        <v>1.0496954399701235</v>
      </c>
      <c r="I42" s="224">
        <f t="shared" ref="I42" si="10">+D42/R$7</f>
        <v>1.1579913085465958</v>
      </c>
      <c r="J42" s="223">
        <f t="shared" ref="J42" si="11">+E42/P$7</f>
        <v>1.1130859199280252</v>
      </c>
      <c r="K42" s="223">
        <f t="shared" ref="K42" si="12">+F42/Q$7</f>
        <v>1.3245631552670993</v>
      </c>
    </row>
    <row r="43" spans="2:15" x14ac:dyDescent="0.2">
      <c r="B43" s="2">
        <v>44682</v>
      </c>
      <c r="C43" s="3">
        <v>849.39</v>
      </c>
      <c r="D43" s="11">
        <v>121.35000000000001</v>
      </c>
      <c r="E43" s="266">
        <v>247.69300000000001</v>
      </c>
      <c r="F43" s="266">
        <v>273.25099999999998</v>
      </c>
      <c r="H43" s="221">
        <f t="shared" ref="H43:H45" si="13">+C43/O$7</f>
        <v>1.0938276692465199</v>
      </c>
      <c r="I43" s="222">
        <f t="shared" ref="I43:I45" si="14">+D43/R$7</f>
        <v>1.1718976339932401</v>
      </c>
      <c r="J43" s="221">
        <f t="shared" ref="J43:J45" si="15">+E43/P$7</f>
        <v>1.1142285200179938</v>
      </c>
      <c r="K43" s="221">
        <f t="shared" ref="K43:K45" si="16">+F43/Q$7</f>
        <v>1.3642086869695456</v>
      </c>
    </row>
    <row r="44" spans="2:15" x14ac:dyDescent="0.2">
      <c r="B44" s="38">
        <v>44713</v>
      </c>
      <c r="C44" s="39">
        <v>857.77</v>
      </c>
      <c r="D44" s="40">
        <v>122.48</v>
      </c>
      <c r="E44" s="267">
        <v>248.535</v>
      </c>
      <c r="F44" s="267">
        <v>280.25099999999998</v>
      </c>
      <c r="H44" s="223">
        <f t="shared" si="13"/>
        <v>1.1046192677681481</v>
      </c>
      <c r="I44" s="224">
        <f t="shared" si="14"/>
        <v>1.1828102366006761</v>
      </c>
      <c r="J44" s="223">
        <f t="shared" si="15"/>
        <v>1.1180161943319837</v>
      </c>
      <c r="K44" s="223">
        <f t="shared" si="16"/>
        <v>1.3991562656015974</v>
      </c>
    </row>
    <row r="45" spans="2:15" x14ac:dyDescent="0.2">
      <c r="B45" s="2">
        <v>44743</v>
      </c>
      <c r="C45" s="3">
        <v>953.71</v>
      </c>
      <c r="D45" s="11">
        <v>124.16</v>
      </c>
      <c r="E45" s="266">
        <v>248.31200000000001</v>
      </c>
      <c r="F45" s="266">
        <v>272.274</v>
      </c>
      <c r="H45" s="221">
        <f t="shared" si="13"/>
        <v>1.2281689052580069</v>
      </c>
      <c r="I45" s="222">
        <f t="shared" si="14"/>
        <v>1.1990342829550942</v>
      </c>
      <c r="J45" s="221">
        <f t="shared" si="15"/>
        <v>1.1170130454340981</v>
      </c>
      <c r="K45" s="221">
        <f t="shared" si="16"/>
        <v>1.3593310034947579</v>
      </c>
    </row>
    <row r="46" spans="2:15" x14ac:dyDescent="0.2">
      <c r="B46" s="38">
        <v>44774</v>
      </c>
      <c r="C46" s="39">
        <v>904.35</v>
      </c>
      <c r="D46" s="40">
        <v>125.67</v>
      </c>
      <c r="E46" s="267">
        <v>246.82900000000001</v>
      </c>
      <c r="F46" s="267">
        <v>269.54599999999999</v>
      </c>
      <c r="H46" s="223">
        <f t="shared" ref="H46:H48" si="17">+C46/O$7</f>
        <v>1.1646040719611606</v>
      </c>
      <c r="I46" s="224">
        <f t="shared" ref="I46:I48" si="18">+D46/R$7</f>
        <v>1.2136166103331725</v>
      </c>
      <c r="J46" s="223">
        <f t="shared" ref="J46:J48" si="19">+E46/P$7</f>
        <v>1.1103418803418803</v>
      </c>
      <c r="K46" s="223">
        <f t="shared" ref="K46:K48" si="20">+F46/Q$7</f>
        <v>1.3457114328507238</v>
      </c>
    </row>
    <row r="47" spans="2:15" x14ac:dyDescent="0.2">
      <c r="B47" s="2">
        <v>44805</v>
      </c>
      <c r="C47" s="3">
        <v>921.01</v>
      </c>
      <c r="D47" s="11">
        <v>126.75</v>
      </c>
      <c r="E47" s="314"/>
      <c r="F47" s="314"/>
      <c r="H47" s="221">
        <f t="shared" si="17"/>
        <v>1.1860584909790994</v>
      </c>
      <c r="I47" s="222">
        <f t="shared" si="18"/>
        <v>1.2240463544181555</v>
      </c>
      <c r="J47" s="221">
        <f t="shared" si="19"/>
        <v>0</v>
      </c>
      <c r="K47" s="221">
        <f t="shared" si="20"/>
        <v>0</v>
      </c>
    </row>
    <row r="48" spans="2:15" x14ac:dyDescent="0.2">
      <c r="B48" s="38">
        <v>44835</v>
      </c>
      <c r="C48" s="39">
        <v>955.89</v>
      </c>
      <c r="D48" s="40">
        <v>127.41</v>
      </c>
      <c r="E48" s="41"/>
      <c r="F48" s="41"/>
      <c r="H48" s="223">
        <f t="shared" si="17"/>
        <v>1.2309762662099339</v>
      </c>
      <c r="I48" s="224">
        <f t="shared" si="18"/>
        <v>1.2304200869145341</v>
      </c>
      <c r="J48" s="223">
        <f t="shared" si="19"/>
        <v>0</v>
      </c>
      <c r="K48" s="223">
        <f t="shared" si="20"/>
        <v>0</v>
      </c>
    </row>
    <row r="49" spans="2:13" x14ac:dyDescent="0.2">
      <c r="B49" s="2">
        <v>44866</v>
      </c>
      <c r="C49" s="3">
        <v>917.05</v>
      </c>
      <c r="D49" s="11">
        <v>128.65</v>
      </c>
      <c r="E49" s="19"/>
      <c r="F49" s="19"/>
      <c r="H49" s="221">
        <f t="shared" ref="H49:H52" si="21">+C49/O$7</f>
        <v>1.1809588811765159</v>
      </c>
      <c r="I49" s="222">
        <f t="shared" ref="I49:I52" si="22">+D49/R$7</f>
        <v>1.2423949782713666</v>
      </c>
      <c r="J49" s="221">
        <f t="shared" ref="J49:J52" si="23">+E49/P$7</f>
        <v>0</v>
      </c>
      <c r="K49" s="221">
        <f t="shared" ref="K49:K52" si="24">+F49/Q$7</f>
        <v>0</v>
      </c>
    </row>
    <row r="50" spans="2:13" x14ac:dyDescent="0.2">
      <c r="B50" s="38">
        <v>44896</v>
      </c>
      <c r="C50" s="39">
        <v>875.66</v>
      </c>
      <c r="D50" s="40">
        <v>129.02000000000001</v>
      </c>
      <c r="E50" s="41"/>
      <c r="F50" s="41"/>
      <c r="H50" s="223">
        <f t="shared" si="21"/>
        <v>1.1276576564974952</v>
      </c>
      <c r="I50" s="224">
        <f t="shared" si="22"/>
        <v>1.2459681313375182</v>
      </c>
      <c r="J50" s="223">
        <f t="shared" si="23"/>
        <v>0</v>
      </c>
      <c r="K50" s="223">
        <f t="shared" si="24"/>
        <v>0</v>
      </c>
      <c r="M50" s="268"/>
    </row>
    <row r="51" spans="2:13" x14ac:dyDescent="0.2">
      <c r="B51" s="2">
        <v>44927</v>
      </c>
      <c r="C51" s="308">
        <v>826.34</v>
      </c>
      <c r="D51" s="309">
        <v>130.05000000000001</v>
      </c>
      <c r="E51" s="19"/>
      <c r="F51" s="19"/>
      <c r="H51" s="221">
        <f t="shared" si="21"/>
        <v>1.0641443344107762</v>
      </c>
      <c r="I51" s="222">
        <f t="shared" si="22"/>
        <v>1.2559150169000484</v>
      </c>
      <c r="J51" s="221">
        <f t="shared" si="23"/>
        <v>0</v>
      </c>
      <c r="K51" s="221">
        <f t="shared" si="24"/>
        <v>0</v>
      </c>
    </row>
    <row r="52" spans="2:13" x14ac:dyDescent="0.2">
      <c r="B52" s="38">
        <v>44958</v>
      </c>
      <c r="C52" s="316"/>
      <c r="D52" s="315"/>
      <c r="E52" s="312"/>
      <c r="F52" s="312"/>
      <c r="H52" s="223">
        <f t="shared" si="21"/>
        <v>0</v>
      </c>
      <c r="I52" s="224">
        <f t="shared" si="22"/>
        <v>0</v>
      </c>
      <c r="J52" s="223">
        <f t="shared" si="23"/>
        <v>0</v>
      </c>
      <c r="K52" s="223">
        <f t="shared" si="24"/>
        <v>0</v>
      </c>
    </row>
    <row r="53" spans="2:13" x14ac:dyDescent="0.2">
      <c r="B53" s="2">
        <v>44986</v>
      </c>
      <c r="C53" s="308"/>
      <c r="D53" s="309"/>
      <c r="E53" s="313"/>
      <c r="F53" s="313"/>
      <c r="H53" s="221">
        <f t="shared" ref="H53:H58" si="25">+C53/O$7</f>
        <v>0</v>
      </c>
      <c r="I53" s="222">
        <f t="shared" ref="I53:I58" si="26">+D53/R$7</f>
        <v>0</v>
      </c>
      <c r="J53" s="221">
        <f t="shared" ref="J53:J58" si="27">+E53/P$7</f>
        <v>0</v>
      </c>
      <c r="K53" s="221">
        <f t="shared" ref="K53:K58" si="28">+F53/Q$7</f>
        <v>0</v>
      </c>
    </row>
    <row r="54" spans="2:13" x14ac:dyDescent="0.2">
      <c r="B54" s="38">
        <v>45017</v>
      </c>
      <c r="C54" s="310"/>
      <c r="D54" s="311"/>
      <c r="E54" s="312"/>
      <c r="F54" s="312"/>
      <c r="H54" s="223">
        <f t="shared" si="25"/>
        <v>0</v>
      </c>
      <c r="I54" s="224">
        <f t="shared" si="26"/>
        <v>0</v>
      </c>
      <c r="J54" s="223">
        <f t="shared" si="27"/>
        <v>0</v>
      </c>
      <c r="K54" s="223">
        <f t="shared" si="28"/>
        <v>0</v>
      </c>
    </row>
    <row r="55" spans="2:13" x14ac:dyDescent="0.2">
      <c r="B55" s="2">
        <v>45047</v>
      </c>
      <c r="C55" s="308"/>
      <c r="D55" s="309"/>
      <c r="E55" s="313"/>
      <c r="F55" s="313"/>
      <c r="H55" s="221">
        <f t="shared" si="25"/>
        <v>0</v>
      </c>
      <c r="I55" s="222">
        <f t="shared" si="26"/>
        <v>0</v>
      </c>
      <c r="J55" s="221">
        <f t="shared" si="27"/>
        <v>0</v>
      </c>
      <c r="K55" s="221">
        <f t="shared" si="28"/>
        <v>0</v>
      </c>
    </row>
    <row r="56" spans="2:13" x14ac:dyDescent="0.2">
      <c r="B56" s="38">
        <v>45078</v>
      </c>
      <c r="C56" s="310"/>
      <c r="D56" s="311"/>
      <c r="E56" s="312"/>
      <c r="F56" s="312"/>
      <c r="H56" s="223">
        <f t="shared" si="25"/>
        <v>0</v>
      </c>
      <c r="I56" s="224">
        <f t="shared" si="26"/>
        <v>0</v>
      </c>
      <c r="J56" s="223">
        <f t="shared" si="27"/>
        <v>0</v>
      </c>
      <c r="K56" s="223">
        <f t="shared" si="28"/>
        <v>0</v>
      </c>
    </row>
    <row r="57" spans="2:13" x14ac:dyDescent="0.2">
      <c r="B57" s="2">
        <v>45108</v>
      </c>
      <c r="C57" s="308"/>
      <c r="D57" s="309"/>
      <c r="E57" s="313"/>
      <c r="F57" s="313"/>
      <c r="H57" s="221">
        <f t="shared" si="25"/>
        <v>0</v>
      </c>
      <c r="I57" s="222">
        <f t="shared" si="26"/>
        <v>0</v>
      </c>
      <c r="J57" s="221">
        <f t="shared" si="27"/>
        <v>0</v>
      </c>
      <c r="K57" s="221">
        <f t="shared" si="28"/>
        <v>0</v>
      </c>
    </row>
    <row r="58" spans="2:13" x14ac:dyDescent="0.2">
      <c r="B58" s="38">
        <v>45139</v>
      </c>
      <c r="C58" s="310"/>
      <c r="D58" s="311"/>
      <c r="E58" s="312"/>
      <c r="F58" s="312"/>
      <c r="H58" s="223">
        <f t="shared" si="25"/>
        <v>0</v>
      </c>
      <c r="I58" s="224">
        <f t="shared" si="26"/>
        <v>0</v>
      </c>
      <c r="J58" s="223">
        <f t="shared" si="27"/>
        <v>0</v>
      </c>
      <c r="K58" s="223">
        <f t="shared" si="28"/>
        <v>0</v>
      </c>
    </row>
    <row r="59" spans="2:13" x14ac:dyDescent="0.2">
      <c r="B59" s="2">
        <v>45170</v>
      </c>
      <c r="C59" s="308"/>
      <c r="D59" s="309"/>
      <c r="E59" s="313"/>
      <c r="F59" s="313"/>
      <c r="H59" s="221">
        <f t="shared" ref="H59:H63" si="29">+C59/O$7</f>
        <v>0</v>
      </c>
      <c r="I59" s="222">
        <f t="shared" ref="I59:I63" si="30">+D59/R$7</f>
        <v>0</v>
      </c>
      <c r="J59" s="221">
        <f t="shared" ref="J59:J63" si="31">+E59/P$7</f>
        <v>0</v>
      </c>
      <c r="K59" s="221">
        <f t="shared" ref="K59:K63" si="32">+F59/Q$7</f>
        <v>0</v>
      </c>
    </row>
    <row r="60" spans="2:13" x14ac:dyDescent="0.2">
      <c r="B60" s="38">
        <v>45200</v>
      </c>
      <c r="C60" s="310"/>
      <c r="D60" s="311"/>
      <c r="E60" s="312"/>
      <c r="F60" s="312"/>
      <c r="H60" s="223">
        <f t="shared" si="29"/>
        <v>0</v>
      </c>
      <c r="I60" s="224">
        <f t="shared" si="30"/>
        <v>0</v>
      </c>
      <c r="J60" s="223">
        <f t="shared" si="31"/>
        <v>0</v>
      </c>
      <c r="K60" s="223">
        <f t="shared" si="32"/>
        <v>0</v>
      </c>
    </row>
    <row r="61" spans="2:13" x14ac:dyDescent="0.2">
      <c r="B61" s="2">
        <v>45231</v>
      </c>
      <c r="C61" s="308"/>
      <c r="D61" s="309"/>
      <c r="E61" s="313"/>
      <c r="F61" s="313"/>
      <c r="H61" s="221">
        <f t="shared" si="29"/>
        <v>0</v>
      </c>
      <c r="I61" s="222">
        <f t="shared" si="30"/>
        <v>0</v>
      </c>
      <c r="J61" s="221">
        <f t="shared" si="31"/>
        <v>0</v>
      </c>
      <c r="K61" s="221">
        <f t="shared" si="32"/>
        <v>0</v>
      </c>
    </row>
    <row r="62" spans="2:13" x14ac:dyDescent="0.2">
      <c r="B62" s="38">
        <v>45261</v>
      </c>
      <c r="C62" s="310"/>
      <c r="D62" s="311"/>
      <c r="E62" s="312"/>
      <c r="F62" s="312"/>
      <c r="H62" s="223">
        <f t="shared" si="29"/>
        <v>0</v>
      </c>
      <c r="I62" s="224">
        <f t="shared" si="30"/>
        <v>0</v>
      </c>
      <c r="J62" s="223">
        <f t="shared" si="31"/>
        <v>0</v>
      </c>
      <c r="K62" s="223">
        <f t="shared" si="32"/>
        <v>0</v>
      </c>
    </row>
    <row r="63" spans="2:13" x14ac:dyDescent="0.2">
      <c r="B63" s="2">
        <v>45292</v>
      </c>
      <c r="C63" s="308"/>
      <c r="D63" s="309"/>
      <c r="E63" s="313"/>
      <c r="F63" s="313"/>
      <c r="H63" s="221">
        <f t="shared" si="29"/>
        <v>0</v>
      </c>
      <c r="I63" s="222">
        <f t="shared" si="30"/>
        <v>0</v>
      </c>
      <c r="J63" s="221">
        <f t="shared" si="31"/>
        <v>0</v>
      </c>
      <c r="K63" s="221">
        <f t="shared" si="32"/>
        <v>0</v>
      </c>
    </row>
  </sheetData>
  <mergeCells count="2">
    <mergeCell ref="O5:R5"/>
    <mergeCell ref="T5:U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6B618-D132-48F1-9F99-6945951F101C}">
  <dimension ref="A1:AN30"/>
  <sheetViews>
    <sheetView showGridLines="0" tabSelected="1" zoomScaleNormal="100" workbookViewId="0">
      <selection activeCell="C25" sqref="C25"/>
    </sheetView>
  </sheetViews>
  <sheetFormatPr baseColWidth="10" defaultColWidth="11.42578125" defaultRowHeight="12.75" x14ac:dyDescent="0.2"/>
  <cols>
    <col min="1" max="1" width="8.28515625" style="210" bestFit="1" customWidth="1"/>
    <col min="2" max="2" width="8.140625" style="210" bestFit="1" customWidth="1"/>
    <col min="3" max="3" width="39.7109375" style="210" bestFit="1" customWidth="1"/>
    <col min="4" max="4" width="11.28515625" style="210" bestFit="1" customWidth="1"/>
    <col min="5" max="5" width="13.28515625" style="210" bestFit="1" customWidth="1"/>
    <col min="6" max="6" width="15.42578125" style="210" bestFit="1" customWidth="1"/>
    <col min="7" max="7" width="11.42578125" style="210" bestFit="1" customWidth="1"/>
    <col min="8" max="8" width="11.42578125" style="210" customWidth="1"/>
    <col min="9" max="9" width="19.42578125" style="210" customWidth="1"/>
    <col min="10" max="10" width="7.7109375" style="210" customWidth="1"/>
    <col min="11" max="11" width="10.28515625" style="210" bestFit="1" customWidth="1"/>
    <col min="12" max="12" width="8.7109375" style="210" bestFit="1" customWidth="1"/>
    <col min="13" max="13" width="20.42578125" style="210" customWidth="1"/>
    <col min="14" max="14" width="19.140625" style="210" customWidth="1"/>
    <col min="15" max="16" width="12.42578125" style="210" customWidth="1"/>
    <col min="17" max="17" width="16.28515625" style="210" customWidth="1"/>
    <col min="18" max="20" width="13.42578125" style="210" bestFit="1" customWidth="1"/>
    <col min="21" max="21" width="17" style="210" customWidth="1"/>
    <col min="22" max="22" width="12.7109375" style="210" bestFit="1" customWidth="1"/>
    <col min="23" max="16384" width="11.42578125" style="210"/>
  </cols>
  <sheetData>
    <row r="1" spans="1:40" ht="16.5" thickBot="1" x14ac:dyDescent="0.3"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Q1" s="331"/>
      <c r="R1" s="331"/>
      <c r="S1" s="331"/>
      <c r="T1" s="331"/>
      <c r="AA1" s="331"/>
      <c r="AB1" s="331"/>
      <c r="AC1" s="331"/>
      <c r="AD1" s="331"/>
      <c r="AE1" s="331"/>
      <c r="AF1" s="331"/>
      <c r="AG1" s="331"/>
      <c r="AH1" s="331"/>
      <c r="AI1" s="331"/>
      <c r="AJ1" s="331"/>
      <c r="AK1" s="331"/>
      <c r="AL1" s="331"/>
      <c r="AM1" s="331"/>
      <c r="AN1" s="331"/>
    </row>
    <row r="2" spans="1:40" ht="13.5" thickBot="1" x14ac:dyDescent="0.25">
      <c r="H2" s="324" t="s">
        <v>67</v>
      </c>
      <c r="I2" s="325"/>
      <c r="J2" s="325"/>
      <c r="K2" s="325"/>
      <c r="L2" s="325"/>
      <c r="M2" s="325"/>
      <c r="N2" s="325"/>
      <c r="O2" s="326"/>
      <c r="P2" s="324" t="s">
        <v>68</v>
      </c>
      <c r="Q2" s="325" t="s">
        <v>68</v>
      </c>
      <c r="R2" s="325"/>
      <c r="S2" s="325"/>
      <c r="T2" s="325"/>
      <c r="U2" s="325"/>
      <c r="V2" s="325"/>
      <c r="W2" s="326"/>
    </row>
    <row r="3" spans="1:40" s="213" customFormat="1" ht="19.5" customHeight="1" thickBot="1" x14ac:dyDescent="0.25">
      <c r="B3" s="332" t="s">
        <v>115</v>
      </c>
      <c r="C3" s="337" t="s">
        <v>24</v>
      </c>
      <c r="D3" s="334" t="s">
        <v>117</v>
      </c>
      <c r="E3" s="335"/>
      <c r="F3" s="335"/>
      <c r="G3" s="336"/>
      <c r="H3" s="329" t="s">
        <v>10</v>
      </c>
      <c r="I3" s="319" t="s">
        <v>86</v>
      </c>
      <c r="J3" s="320"/>
      <c r="K3" s="320"/>
      <c r="L3" s="321"/>
      <c r="M3" s="317" t="s">
        <v>116</v>
      </c>
      <c r="N3" s="317" t="s">
        <v>85</v>
      </c>
      <c r="O3" s="317" t="s">
        <v>114</v>
      </c>
      <c r="P3" s="329" t="s">
        <v>10</v>
      </c>
      <c r="Q3" s="319" t="s">
        <v>86</v>
      </c>
      <c r="R3" s="320"/>
      <c r="S3" s="320"/>
      <c r="T3" s="321"/>
      <c r="U3" s="317" t="s">
        <v>116</v>
      </c>
      <c r="V3" s="317" t="s">
        <v>85</v>
      </c>
      <c r="W3" s="317" t="s">
        <v>114</v>
      </c>
    </row>
    <row r="4" spans="1:40" s="213" customFormat="1" ht="32.25" customHeight="1" thickBot="1" x14ac:dyDescent="0.25">
      <c r="B4" s="333"/>
      <c r="C4" s="338"/>
      <c r="D4" s="12" t="s">
        <v>84</v>
      </c>
      <c r="E4" s="12" t="s">
        <v>83</v>
      </c>
      <c r="F4" s="12" t="s">
        <v>82</v>
      </c>
      <c r="G4" s="32" t="s">
        <v>81</v>
      </c>
      <c r="H4" s="330"/>
      <c r="I4" s="69" t="s">
        <v>80</v>
      </c>
      <c r="J4" s="69" t="s">
        <v>79</v>
      </c>
      <c r="K4" s="69" t="s">
        <v>78</v>
      </c>
      <c r="L4" s="69" t="s">
        <v>77</v>
      </c>
      <c r="M4" s="318"/>
      <c r="N4" s="318"/>
      <c r="O4" s="318"/>
      <c r="P4" s="330"/>
      <c r="Q4" s="69" t="s">
        <v>80</v>
      </c>
      <c r="R4" s="69" t="s">
        <v>79</v>
      </c>
      <c r="S4" s="69" t="s">
        <v>78</v>
      </c>
      <c r="T4" s="69" t="s">
        <v>77</v>
      </c>
      <c r="U4" s="318"/>
      <c r="V4" s="318"/>
      <c r="W4" s="318"/>
    </row>
    <row r="5" spans="1:40" x14ac:dyDescent="0.2">
      <c r="B5" s="144">
        <v>44470</v>
      </c>
      <c r="C5" s="144" t="s">
        <v>120</v>
      </c>
      <c r="D5" s="304">
        <f>+VLOOKUP(DATE(YEAR(B5),MONTH(B5)-2,1),Indices!$B:$F,2,0)</f>
        <v>779.83</v>
      </c>
      <c r="E5" s="305">
        <f>+VLOOKUP(DATE(YEAR(B5),MONTH(B5)-7,1),Indices!$B:$F,4,0)</f>
        <v>232.1</v>
      </c>
      <c r="F5" s="305">
        <f>+VLOOKUP(DATE(YEAR(B5),MONTH(B5)-7,1),Indices!$B:$F,5,0)</f>
        <v>215</v>
      </c>
      <c r="G5" s="304">
        <f>+VLOOKUP(DATE(YEAR(B5),MONTH(B5)-2,1),Indices!$B:$F,3,0)</f>
        <v>110.15</v>
      </c>
      <c r="H5" s="306" t="s">
        <v>48</v>
      </c>
      <c r="I5" s="304">
        <f>(VLOOKUP(B5,Parámetros!$C:$Q,5,0)*E5/Indices!$P$7+VLOOKUP(B5,Parámetros!$C:$Q,6,0)*F5/Indices!$Q$7+VLOOKUP(B5,Parámetros!$C:$Q,7,0)*G5/Indices!$R$7*Indices!$O$7/D5)*Parámetros!F9</f>
        <v>572.78743745306804</v>
      </c>
      <c r="J5" s="304">
        <f>+(VLOOKUP($B5,Parámetros!$C:$L,9,0)*F5/Indices!$Q$7+VLOOKUP($B5,Parámetros!$C:$L,10,0)*Indices!$O$7/D5*G5/Indices!$R$7)*Parámetros!J9</f>
        <v>77.718456884829394</v>
      </c>
      <c r="K5" s="304">
        <f>+(VLOOKUP(B5,Parámetros!$C:$O,12,0)*F5/Indices!$Q$7+VLOOKUP(B5,Parámetros!$C:$O,13,0)*Indices!$O$7/D5*G5/Indices!$R$7)*Parámetros!M9</f>
        <v>12.649774386350925</v>
      </c>
      <c r="L5" s="304">
        <f>+Parámetros!P9*Indices!$O$7/D5*G5/Indices!$R$7</f>
        <v>1.172574159835118</v>
      </c>
      <c r="M5" s="304">
        <f>+ROUND(ROUND(((I5*VLOOKUP($B5,Parámetros!$C:$AL,33,0)+J5*VLOOKUP($B5,Parámetros!$C:$AL,34,0)+K5*VLOOKUP($B5,Parámetros!$C:$AL,35,0))*VLOOKUP($B5,Parámetros!$C:$AL,36,0)+L5)*(VLOOKUP($B5,Parámetros!$C:$AL,16,0))*(VLOOKUP($B5,Parámetros!$C:$AL,17,0)),Indices!$T$7)*D5,Indices!$U$7)</f>
        <v>6223.12</v>
      </c>
      <c r="N5" s="304">
        <f>+VLOOKUP($B5,Parámetros!$C:$AL,15,0)</f>
        <v>5803.92</v>
      </c>
      <c r="O5" s="307">
        <f t="shared" ref="O5:O10" si="0">+M5/N5-1</f>
        <v>7.2227046547850282E-2</v>
      </c>
      <c r="P5" s="306" t="s">
        <v>56</v>
      </c>
      <c r="Q5" s="304">
        <f>(VLOOKUP(B5,Parámetros!$C:$AL,20,0)*E5/Indices!$P$7+VLOOKUP(B5,Parámetros!$C:$AL,21,0)*F5/Indices!$Q$7+VLOOKUP(B5,Parámetros!$C:$AL,22,0)*G5/Indices!$R$7*Indices!$O$7/D5)*Parámetros!U9</f>
        <v>549.55450297933044</v>
      </c>
      <c r="R5" s="304">
        <f>+(VLOOKUP(B5,Parámetros!$C:$AL,24,0)*F5/Indices!$Q$7+VLOOKUP(B5,Parámetros!$C:$AL,25,0)*Indices!$O$7/D5*G5/Indices!$R$7)*Parámetros!Y9</f>
        <v>72.482455095938818</v>
      </c>
      <c r="S5" s="304">
        <f>+(VLOOKUP(B5,Parámetros!$C:$AL,27,0)*F5/Indices!$Q$7+VLOOKUP(B5,Parámetros!$C:$AL,28,0)*Indices!$O$7/D5*G5/Indices!$R$7)*Parámetros!AB9</f>
        <v>8.1918416667118308</v>
      </c>
      <c r="T5" s="304">
        <f>Parámetros!AE9*Indices!$O$7/D5*G5/Indices!$R$7</f>
        <v>1.0094518286566101</v>
      </c>
      <c r="U5" s="304">
        <f>+ROUND(ROUND(((Q5*VLOOKUP($B5,Parámetros!$C:$AL,33,0)+R5*VLOOKUP($B5,Parámetros!$C:$AL,34,0)+S5*VLOOKUP($B5,Parámetros!$C:$AL,35,0))*VLOOKUP($B5,Parámetros!$C:$AL,36,0)+T5)*(VLOOKUP($B5,Parámetros!$C:$AL,31,0))*(VLOOKUP($B5,Parámetros!$C:$AL,32,0)),Indices!$T$7)*D5,Indices!$U$7)</f>
        <v>5824.63</v>
      </c>
      <c r="V5" s="304">
        <f>+VLOOKUP($B5,Parámetros!$C:$AL,30,0)</f>
        <v>5418.16</v>
      </c>
      <c r="W5" s="307">
        <f>+U5/V5-1</f>
        <v>7.5019932966173153E-2</v>
      </c>
    </row>
    <row r="6" spans="1:40" x14ac:dyDescent="0.2">
      <c r="B6" s="183">
        <v>44501</v>
      </c>
      <c r="C6" s="183" t="s">
        <v>120</v>
      </c>
      <c r="D6" s="227">
        <f>+VLOOKUP(DATE(YEAR(B6),MONTH(B6)-2,1),Indices!$B:$F,2,0)</f>
        <v>783.63</v>
      </c>
      <c r="E6" s="258">
        <f>+VLOOKUP(DATE(YEAR(B6),MONTH(B6)-7,1),Indices!$B:$F,4,0)</f>
        <v>232.4</v>
      </c>
      <c r="F6" s="258">
        <f>+VLOOKUP(DATE(YEAR(B6),MONTH(B6)-7,1),Indices!$B:$F,5,0)</f>
        <v>217.9</v>
      </c>
      <c r="G6" s="227">
        <f>+VLOOKUP(DATE(YEAR(B6),MONTH(B6)-2,1),Indices!$B:$F,3,0)</f>
        <v>111.45</v>
      </c>
      <c r="H6" s="232" t="s">
        <v>48</v>
      </c>
      <c r="I6" s="227">
        <f>(VLOOKUP(B6,Parámetros!$C:$Q,5,0)*E6/Indices!$P$7+VLOOKUP(B6,Parámetros!$C:$Q,6,0)*F6/Indices!$Q$7+VLOOKUP(B6,Parámetros!$C:$Q,7,0)*G6/Indices!$R$7*Indices!$O$7/D6)*Parámetros!F10</f>
        <v>574.64439451711405</v>
      </c>
      <c r="J6" s="227">
        <f>+(VLOOKUP($B6,Parámetros!$C:$L,9,0)*F6/Indices!$Q$7+VLOOKUP($B6,Parámetros!$C:$L,10,0)*Indices!$O$7/D6*G6/Indices!$R$7)*Parámetros!J10</f>
        <v>78.537803133006122</v>
      </c>
      <c r="K6" s="227">
        <f>+(VLOOKUP(B6,Parámetros!$C:$O,12,0)*F6/Indices!$Q$7+VLOOKUP(B6,Parámetros!$C:$O,13,0)*Indices!$O$7/D6*G6/Indices!$R$7)*Parámetros!M10</f>
        <v>12.749902153738081</v>
      </c>
      <c r="L6" s="227">
        <f>+Parámetros!P10*Indices!$O$7/D6*G6/Indices!$R$7</f>
        <v>1.1806597970840715</v>
      </c>
      <c r="M6" s="227">
        <f>+ROUND(ROUND(((I6*VLOOKUP($B6,Parámetros!$C:$AL,33,0)+J6*VLOOKUP($B6,Parámetros!$C:$AL,34,0)+K6*VLOOKUP($B6,Parámetros!$C:$AL,35,0))*VLOOKUP($B6,Parámetros!$C:$AL,36,0)+L6)*(VLOOKUP($B6,Parámetros!$C:$AL,16,0))*(VLOOKUP($B6,Parámetros!$C:$AL,17,0)),Indices!$T$7)*D6,Indices!$U$7)</f>
        <v>6282.05</v>
      </c>
      <c r="N6" s="227">
        <f>+VLOOKUP($B6,Parámetros!$C:$AL,15,0)</f>
        <v>5803.92</v>
      </c>
      <c r="O6" s="230">
        <f t="shared" si="0"/>
        <v>8.2380529021764515E-2</v>
      </c>
      <c r="P6" s="232" t="s">
        <v>56</v>
      </c>
      <c r="Q6" s="227">
        <f>(VLOOKUP(B6,Parámetros!$C:$AL,20,0)*E6/Indices!$P$7+VLOOKUP(B6,Parámetros!$C:$AL,21,0)*F6/Indices!$Q$7+VLOOKUP(B6,Parámetros!$C:$AL,22,0)*G6/Indices!$R$7*Indices!$O$7/D6)*Parámetros!U10</f>
        <v>551.32559655645878</v>
      </c>
      <c r="R6" s="227">
        <f>+(VLOOKUP(B6,Parámetros!$C:$AL,24,0)*F6/Indices!$Q$7+VLOOKUP(B6,Parámetros!$C:$AL,25,0)*Indices!$O$7/D6*G6/Indices!$R$7)*Parámetros!Y10</f>
        <v>73.291016661619594</v>
      </c>
      <c r="S6" s="227">
        <f>+(VLOOKUP(B6,Parámetros!$C:$AL,27,0)*F6/Indices!$Q$7+VLOOKUP(B6,Parámetros!$C:$AL,28,0)*Indices!$O$7/D6*G6/Indices!$R$7)*Parámetros!AB10</f>
        <v>8.2550697542420597</v>
      </c>
      <c r="T6" s="227">
        <f>Parámetros!AE10*Indices!$O$7/D6*G6/Indices!$R$7</f>
        <v>1.0164126347074254</v>
      </c>
      <c r="U6" s="227">
        <f>+ROUND(ROUND(((Q6*VLOOKUP($B6,Parámetros!$C:$AL,33,0)+R6*VLOOKUP($B6,Parámetros!$C:$AL,34,0)+S6*VLOOKUP($B6,Parámetros!$C:$AL,35,0))*VLOOKUP($B6,Parámetros!$C:$AL,36,0)+T6)*(VLOOKUP($B6,Parámetros!$C:$AL,31,0))*(VLOOKUP($B6,Parámetros!$C:$AL,32,0)),Indices!$T$7)*D6,Indices!$U$7)</f>
        <v>5879.65</v>
      </c>
      <c r="V6" s="227">
        <f>+VLOOKUP($B6,Parámetros!$C:$AL,30,0)</f>
        <v>5418.16</v>
      </c>
      <c r="W6" s="261">
        <f t="shared" ref="W6:W9" si="1">+U6/V6-1</f>
        <v>8.5174671844316041E-2</v>
      </c>
    </row>
    <row r="7" spans="1:40" x14ac:dyDescent="0.2">
      <c r="A7" s="236"/>
      <c r="B7" s="64">
        <v>44531</v>
      </c>
      <c r="C7" s="64" t="s">
        <v>120</v>
      </c>
      <c r="D7" s="233">
        <f>+VLOOKUP(DATE(YEAR(B7),MONTH(B7)-2,1),Indices!$B:$F,2,0)</f>
        <v>813.95</v>
      </c>
      <c r="E7" s="228">
        <f>+VLOOKUP(DATE(YEAR(B7),MONTH(B7)-7,1),Indices!$B:$F,4,0)</f>
        <v>234.6</v>
      </c>
      <c r="F7" s="228">
        <f>+VLOOKUP(DATE(YEAR(B7),MONTH(B7)-7,1),Indices!$B:$F,5,0)</f>
        <v>224.9</v>
      </c>
      <c r="G7" s="233">
        <f>+VLOOKUP(DATE(YEAR(B7),MONTH(B7)-2,1),Indices!$B:$F,3,0)</f>
        <v>112.94</v>
      </c>
      <c r="H7" s="234" t="s">
        <v>48</v>
      </c>
      <c r="I7" s="233">
        <f>(VLOOKUP(B7,Parámetros!$C:$Q,5,0)*E7/Indices!$P$7+VLOOKUP(B7,Parámetros!$C:$Q,6,0)*F7/Indices!$Q$7+VLOOKUP(B7,Parámetros!$C:$Q,7,0)*G7/Indices!$R$7*Indices!$O$7/D7)*Parámetros!F11</f>
        <v>576.67116270224938</v>
      </c>
      <c r="J7" s="233">
        <f>+(VLOOKUP($B7,Parámetros!$C:$L,9,0)*F7/Indices!$Q$7+VLOOKUP($B7,Parámetros!$C:$L,10,0)*Indices!$O$7/D7*G7/Indices!$R$7)*Parámetros!J11</f>
        <v>79.085043022256102</v>
      </c>
      <c r="K7" s="233">
        <f>+(VLOOKUP(B7,Parámetros!$C:$O,12,0)*F7/Indices!$Q$7+VLOOKUP(B7,Parámetros!$C:$O,13,0)*Indices!$O$7/D7*G7/Indices!$R$7)*Parámetros!M11</f>
        <v>12.551118551060293</v>
      </c>
      <c r="L7" s="233">
        <f>+Parámetros!P11*Indices!$O$7/D7*G7/Indices!$R$7</f>
        <v>1.1518762191172169</v>
      </c>
      <c r="M7" s="233">
        <f>+ROUND(ROUND(((I7*VLOOKUP($B7,Parámetros!$C:$AL,33,0)+J7*VLOOKUP($B7,Parámetros!$C:$AL,34,0)+K7*VLOOKUP($B7,Parámetros!$C:$AL,35,0))*VLOOKUP($B7,Parámetros!$C:$AL,36,0)+L7)*(VLOOKUP($B7,Parámetros!$C:$AL,16,0))*(VLOOKUP($B7,Parámetros!$C:$AL,17,0)),Indices!$T$7)*D7,Indices!$U$7)</f>
        <v>6518.76</v>
      </c>
      <c r="N7" s="233">
        <f>+VLOOKUP($B7,Parámetros!$C:$AL,15,0)</f>
        <v>5803.92</v>
      </c>
      <c r="O7" s="235">
        <f t="shared" si="0"/>
        <v>0.12316503328784689</v>
      </c>
      <c r="P7" s="234" t="s">
        <v>56</v>
      </c>
      <c r="Q7" s="233">
        <f>(VLOOKUP(B7,Parámetros!$C:$AL,20,0)*E7/Indices!$P$7+VLOOKUP(B7,Parámetros!$C:$AL,21,0)*F7/Indices!$Q$7+VLOOKUP(B7,Parámetros!$C:$AL,22,0)*G7/Indices!$R$7*Indices!$O$7/D7)*Parámetros!U11</f>
        <v>553.35073310022085</v>
      </c>
      <c r="R7" s="233">
        <f>+(VLOOKUP(B7,Parámetros!$C:$AL,24,0)*F7/Indices!$Q$7+VLOOKUP(B7,Parámetros!$C:$AL,25,0)*Indices!$O$7/D7*G7/Indices!$R$7)*Parámetros!Y11</f>
        <v>74.186112373107207</v>
      </c>
      <c r="S7" s="233">
        <f>+(VLOOKUP(B7,Parámetros!$C:$AL,27,0)*F7/Indices!$Q$7+VLOOKUP(B7,Parámetros!$C:$AL,28,0)*Indices!$O$7/D7*G7/Indices!$R$7)*Parámetros!AB11</f>
        <v>8.1123643928385416</v>
      </c>
      <c r="T7" s="233">
        <f>Parámetros!AE11*Indices!$O$7/D7*G7/Indices!$R$7</f>
        <v>0.99163327625899511</v>
      </c>
      <c r="U7" s="233">
        <f>+ROUND(ROUND(((Q7*VLOOKUP($B7,Parámetros!$C:$AL,33,0)+R7*VLOOKUP($B7,Parámetros!$C:$AL,34,0)+S7*VLOOKUP($B7,Parámetros!$C:$AL,35,0))*VLOOKUP($B7,Parámetros!$C:$AL,36,0)+T7)*(VLOOKUP($B7,Parámetros!$C:$AL,31,0))*(VLOOKUP($B7,Parámetros!$C:$AL,32,0)),Indices!$T$7)*D7,Indices!$U$7)</f>
        <v>6107.39</v>
      </c>
      <c r="V7" s="233">
        <f>+VLOOKUP($B7,Parámetros!$C:$AL,30,0)</f>
        <v>5418.16</v>
      </c>
      <c r="W7" s="235">
        <f t="shared" si="1"/>
        <v>0.12720739143916027</v>
      </c>
    </row>
    <row r="8" spans="1:40" s="236" customFormat="1" x14ac:dyDescent="0.2">
      <c r="B8" s="194">
        <v>44562</v>
      </c>
      <c r="C8" s="194" t="s">
        <v>120</v>
      </c>
      <c r="D8" s="227">
        <f>+VLOOKUP(DATE(YEAR(B8),MONTH(B8)-2,1),Indices!$B:$F,2,0)</f>
        <v>812.62</v>
      </c>
      <c r="E8" s="258">
        <f>+VLOOKUP(DATE(YEAR(B8),MONTH(B8)-7,1),Indices!$B:$F,4,0)</f>
        <v>234.3</v>
      </c>
      <c r="F8" s="258">
        <f>+VLOOKUP(DATE(YEAR(B8),MONTH(B8)-7,1),Indices!$B:$F,5,0)</f>
        <v>228.9</v>
      </c>
      <c r="G8" s="227">
        <f>+VLOOKUP(DATE(YEAR(B8),MONTH(B8)-2,1),Indices!$B:$F,3,0)</f>
        <v>113.51</v>
      </c>
      <c r="H8" s="232" t="s">
        <v>48</v>
      </c>
      <c r="I8" s="227">
        <f>(VLOOKUP(B8,Parámetros!$C:$Q,5,0)*E8/Indices!$P$7+VLOOKUP(B8,Parámetros!$C:$Q,6,0)*F8/Indices!$Q$7+VLOOKUP(B8,Parámetros!$C:$Q,7,0)*G8/Indices!$R$7*Indices!$O$7/D8)*Parámetros!F12</f>
        <v>577.59494635484691</v>
      </c>
      <c r="J8" s="227">
        <f>+(VLOOKUP($B8,Parámetros!$C:$L,9,0)*F8/Indices!$Q$7+VLOOKUP($B8,Parámetros!$C:$L,10,0)*Indices!$O$7/D8*G8/Indices!$R$7)*Parámetros!J12</f>
        <v>80.113164993130709</v>
      </c>
      <c r="K8" s="227">
        <f>+(VLOOKUP(B8,Parámetros!$C:$O,12,0)*F8/Indices!$Q$7+VLOOKUP(B8,Parámetros!$C:$O,13,0)*Indices!$O$7/D8*G8/Indices!$R$7)*Parámetros!M12</f>
        <v>12.657815077113352</v>
      </c>
      <c r="L8" s="227">
        <f>+Parámetros!P12*Indices!$O$7/D8*G8/Indices!$R$7</f>
        <v>1.1595844240365121</v>
      </c>
      <c r="M8" s="227">
        <f>+ROUND(ROUND(((I8*VLOOKUP($B8,Parámetros!$C:$AL,33,0)+J8*VLOOKUP($B8,Parámetros!$C:$AL,34,0)+K8*VLOOKUP($B8,Parámetros!$C:$AL,35,0))*VLOOKUP($B8,Parámetros!$C:$AL,36,0)+L8)*(VLOOKUP($B8,Parámetros!$C:$AL,16,0))*(VLOOKUP($B8,Parámetros!$C:$AL,17,0)),Indices!$T$7)*D8,Indices!$U$7)</f>
        <v>6531.35</v>
      </c>
      <c r="N8" s="227">
        <f>+VLOOKUP($B8,Parámetros!$C:$AL,15,0)</f>
        <v>5803.92</v>
      </c>
      <c r="O8" s="230">
        <f t="shared" si="0"/>
        <v>0.12533425684709654</v>
      </c>
      <c r="P8" s="232" t="s">
        <v>56</v>
      </c>
      <c r="Q8" s="227">
        <f>(VLOOKUP(B8,Parámetros!$C:$AL,20,0)*E8/Indices!$P$7+VLOOKUP(B8,Parámetros!$C:$AL,21,0)*F8/Indices!$Q$7+VLOOKUP(B8,Parámetros!$C:$AL,22,0)*G8/Indices!$R$7*Indices!$O$7/D8)*Parámetros!U12</f>
        <v>554.22271812342831</v>
      </c>
      <c r="R8" s="227">
        <f>+(VLOOKUP(B8,Parámetros!$C:$AL,24,0)*F8/Indices!$Q$7+VLOOKUP(B8,Parámetros!$C:$AL,25,0)*Indices!$O$7/D8*G8/Indices!$R$7)*Parámetros!Y12</f>
        <v>75.226021479285379</v>
      </c>
      <c r="S8" s="227">
        <f>+(VLOOKUP(B8,Parámetros!$C:$AL,27,0)*F8/Indices!$Q$7+VLOOKUP(B8,Parámetros!$C:$AL,28,0)*Indices!$O$7/D8*G8/Indices!$R$7)*Parámetros!AB12</f>
        <v>8.1785154414059189</v>
      </c>
      <c r="T8" s="227">
        <f>Parámetros!AE12*Indices!$O$7/D8*G8/Indices!$R$7</f>
        <v>0.9982691563747027</v>
      </c>
      <c r="U8" s="227">
        <f>+ROUND(ROUND(((Q8*VLOOKUP($B8,Parámetros!$C:$AL,33,0)+R8*VLOOKUP($B8,Parámetros!$C:$AL,34,0)+S8*VLOOKUP($B8,Parámetros!$C:$AL,35,0))*VLOOKUP($B8,Parámetros!$C:$AL,36,0)+T8)*(VLOOKUP($B8,Parámetros!$C:$AL,31,0))*(VLOOKUP($B8,Parámetros!$C:$AL,32,0)),Indices!$T$7)*D8,Indices!$U$7)</f>
        <v>6119.03</v>
      </c>
      <c r="V8" s="227">
        <f>+VLOOKUP($B8,Parámetros!$C:$AL,30,0)</f>
        <v>5418.16</v>
      </c>
      <c r="W8" s="262">
        <f t="shared" si="1"/>
        <v>0.12935572223780767</v>
      </c>
    </row>
    <row r="9" spans="1:40" x14ac:dyDescent="0.2">
      <c r="A9" s="236"/>
      <c r="B9" s="175">
        <v>44593</v>
      </c>
      <c r="C9" s="175" t="s">
        <v>120</v>
      </c>
      <c r="D9" s="263">
        <f>+VLOOKUP(DATE(YEAR(B9),MONTH(B9)-2,1),Indices!$B:$F,2,0)</f>
        <v>849.12</v>
      </c>
      <c r="E9" s="264">
        <f>+VLOOKUP(DATE(YEAR(B9),MONTH(B9)-7,1),Indices!$B:$F,4,0)</f>
        <v>234.59200000000001</v>
      </c>
      <c r="F9" s="264">
        <f>+VLOOKUP(DATE(YEAR(B9),MONTH(B9)-7,1),Indices!$B:$F,5,0)</f>
        <v>231.85</v>
      </c>
      <c r="G9" s="263">
        <f>+VLOOKUP(DATE(YEAR(B9),MONTH(B9)-2,1),Indices!$B:$F,3,0)</f>
        <v>114.39</v>
      </c>
      <c r="H9" s="265" t="s">
        <v>48</v>
      </c>
      <c r="I9" s="263">
        <f>(VLOOKUP(B9,Parámetros!$C:$Q,5,0)*E9/Indices!$P$7+VLOOKUP(B9,Parámetros!$C:$Q,6,0)*F9/Indices!$Q$7+VLOOKUP(B9,Parámetros!$C:$Q,7,0)*G9/Indices!$R$7*Indices!$O$7/D9)*Parámetros!F13</f>
        <v>574.24669559429594</v>
      </c>
      <c r="J9" s="263">
        <f>+(VLOOKUP($B9,Parámetros!$C:$L,9,0)*F9/Indices!$Q$7+VLOOKUP($B9,Parámetros!$C:$L,10,0)*Indices!$O$7/D9*G9/Indices!$R$7)*Parámetros!J13</f>
        <v>79.481596401537303</v>
      </c>
      <c r="K9" s="263">
        <f>+(VLOOKUP(B9,Parámetros!$C:$O,12,0)*F9/Indices!$Q$7+VLOOKUP(B9,Parámetros!$C:$O,13,0)*Indices!$O$7/D9*G9/Indices!$R$7)*Parámetros!M13</f>
        <v>12.308559662888756</v>
      </c>
      <c r="L9" s="263">
        <f>+Parámetros!P13*Indices!$O$7/D9*G9/Indices!$R$7</f>
        <v>1.118342284878203</v>
      </c>
      <c r="M9" s="263">
        <f>+ROUND(ROUND(((I9*VLOOKUP($B9,Parámetros!$C:$AL,33,0)+J9*VLOOKUP($B9,Parámetros!$C:$AL,34,0)+K9*VLOOKUP($B9,Parámetros!$C:$AL,35,0))*VLOOKUP($B9,Parámetros!$C:$AL,36,0)+L9)*(VLOOKUP($B9,Parámetros!$C:$AL,16,0))*(VLOOKUP($B9,Parámetros!$C:$AL,17,0)),Indices!$T$7)*D9,Indices!$U$7)</f>
        <v>6749.23</v>
      </c>
      <c r="N9" s="263">
        <f>+VLOOKUP($B9,Parámetros!$C:$AL,15,0)</f>
        <v>5803.92</v>
      </c>
      <c r="O9" s="260">
        <f t="shared" si="0"/>
        <v>0.16287440212821669</v>
      </c>
      <c r="P9" s="265" t="s">
        <v>56</v>
      </c>
      <c r="Q9" s="263">
        <f>(VLOOKUP(B9,Parámetros!$C:$AL,20,0)*E9/Indices!$P$7+VLOOKUP(B9,Parámetros!$C:$AL,21,0)*F9/Indices!$Q$7+VLOOKUP(B9,Parámetros!$C:$AL,22,0)*G9/Indices!$R$7*Indices!$O$7/D9)*Parámetros!U13</f>
        <v>551.09445986344656</v>
      </c>
      <c r="R9" s="263">
        <f>+(VLOOKUP(B9,Parámetros!$C:$AL,24,0)*F9/Indices!$Q$7+VLOOKUP(B9,Parámetros!$C:$AL,25,0)*Indices!$O$7/D9*G9/Indices!$R$7)*Parámetros!Y13</f>
        <v>74.966400166226776</v>
      </c>
      <c r="S9" s="263">
        <f>+(VLOOKUP(B9,Parámetros!$C:$AL,27,0)*F9/Indices!$Q$7+VLOOKUP(B9,Parámetros!$C:$AL,28,0)*Indices!$O$7/D9*G9/Indices!$R$7)*Parámetros!AB13</f>
        <v>7.940376137581274</v>
      </c>
      <c r="T9" s="263">
        <f>Parámetros!AE13*Indices!$O$7/D9*G9/Indices!$R$7</f>
        <v>0.96276440604239166</v>
      </c>
      <c r="U9" s="263">
        <f>+ROUND(ROUND(((Q9*VLOOKUP($B9,Parámetros!$C:$AL,33,0)+R9*VLOOKUP($B9,Parámetros!$C:$AL,34,0)+S9*VLOOKUP($B9,Parámetros!$C:$AL,35,0))*VLOOKUP($B9,Parámetros!$C:$AL,36,0)+T9)*(VLOOKUP($B9,Parámetros!$C:$AL,31,0))*(VLOOKUP($B9,Parámetros!$C:$AL,32,0)),Indices!$T$7)*D9,Indices!$U$7)</f>
        <v>6329.6</v>
      </c>
      <c r="V9" s="263">
        <f>+VLOOKUP($B9,Parámetros!$C:$AL,30,0)</f>
        <v>5418.16</v>
      </c>
      <c r="W9" s="260">
        <f t="shared" si="1"/>
        <v>0.16821946934014509</v>
      </c>
    </row>
    <row r="10" spans="1:40" x14ac:dyDescent="0.2">
      <c r="B10" s="194">
        <v>44621</v>
      </c>
      <c r="C10" s="194" t="s">
        <v>121</v>
      </c>
      <c r="D10" s="227">
        <f>+VLOOKUP(DATE(YEAR(B10),MONTH(B10)-2,1),Indices!$B:$F,2,0)</f>
        <v>822.05</v>
      </c>
      <c r="E10" s="258">
        <f>+VLOOKUP(DATE(YEAR(B10),MONTH(B10)-7,1),Indices!$B:$F,4,0)</f>
        <v>234.351</v>
      </c>
      <c r="F10" s="258">
        <f>+VLOOKUP(DATE(YEAR(B10),MONTH(B10)-7,1),Indices!$B:$F,5,0)</f>
        <v>233.41499999999999</v>
      </c>
      <c r="G10" s="227">
        <f>+VLOOKUP(DATE(YEAR(B10),MONTH(B10)-2,1),Indices!$B:$F,3,0)</f>
        <v>115.77</v>
      </c>
      <c r="H10" s="232" t="s">
        <v>48</v>
      </c>
      <c r="I10" s="227">
        <f>(VLOOKUP(B10,Parámetros!$C:$Q,5,0)*E10/Indices!$P$7+VLOOKUP(B10,Parámetros!$C:$Q,6,0)*F10/Indices!$Q$7+VLOOKUP(B10,Parámetros!$C:$Q,7,0)*G10/Indices!$R$7*Indices!$O$7/D10)*Parámetros!F14</f>
        <v>579.41978847642292</v>
      </c>
      <c r="J10" s="227">
        <f>+(VLOOKUP($B10,Parámetros!$C:$L,9,0)*F10/Indices!$Q$7+VLOOKUP($B10,Parámetros!$C:$L,10,0)*Indices!$O$7/D10*G10/Indices!$R$7)*Parámetros!J14</f>
        <v>81.297944387304085</v>
      </c>
      <c r="K10" s="227">
        <f>+(VLOOKUP(B10,Parámetros!$C:$O,12,0)*F10/Indices!$Q$7+VLOOKUP(B10,Parámetros!$C:$O,13,0)*Indices!$O$7/D10*G10/Indices!$R$7)*Parámetros!M14</f>
        <v>12.785727047185659</v>
      </c>
      <c r="L10" s="227">
        <f>+Parámetros!P14*Indices!$O$7/D10*G10/Indices!$R$7</f>
        <v>1.1691051023816605</v>
      </c>
      <c r="M10" s="227">
        <f>+ROUND(ROUND(((I10*VLOOKUP($B10,Parámetros!$C:$AL,33,0)+J10*VLOOKUP($B10,Parámetros!$C:$AL,34,0)+K10*VLOOKUP($B10,Parámetros!$C:$AL,35,0))*VLOOKUP($B10,Parámetros!$C:$AL,36,0)+L10)*(VLOOKUP($B10,Parámetros!$C:$AL,16,0))*(VLOOKUP($B10,Parámetros!$C:$AL,17,0)),Indices!$T$7)*D10,Indices!$U$7)</f>
        <v>6641.26</v>
      </c>
      <c r="N10" s="227">
        <f>+VLOOKUP($B10,Parámetros!$C:$AL,15,0)</f>
        <v>6641.26</v>
      </c>
      <c r="O10" s="296">
        <f t="shared" si="0"/>
        <v>0</v>
      </c>
      <c r="P10" s="232" t="s">
        <v>56</v>
      </c>
      <c r="Q10" s="227">
        <f>(VLOOKUP(B10,Parámetros!$C:$AL,20,0)*E10/Indices!$P$7+VLOOKUP(B10,Parámetros!$C:$AL,21,0)*F10/Indices!$Q$7+VLOOKUP(B10,Parámetros!$C:$AL,22,0)*G10/Indices!$R$7*Indices!$O$7/D10)*Parámetros!U14</f>
        <v>555.95928874811932</v>
      </c>
      <c r="R10" s="227">
        <f>+(VLOOKUP(B10,Parámetros!$C:$AL,24,0)*F10/Indices!$Q$7+VLOOKUP(B10,Parámetros!$C:$AL,25,0)*Indices!$O$7/D10*G10/Indices!$R$7)*Parámetros!Y14</f>
        <v>76.417757782425184</v>
      </c>
      <c r="S10" s="227">
        <f>+(VLOOKUP(B10,Parámetros!$C:$AL,27,0)*F10/Indices!$Q$7+VLOOKUP(B10,Parámetros!$C:$AL,28,0)*Indices!$O$7/D10*G10/Indices!$R$7)*Parámetros!AB14</f>
        <v>8.2581974259740782</v>
      </c>
      <c r="T10" s="227">
        <f>Parámetros!AE14*Indices!$O$7/D10*G10/Indices!$R$7</f>
        <v>1.0064653681749978</v>
      </c>
      <c r="U10" s="227">
        <f>+ROUND(ROUND(((Q10*VLOOKUP($B10,Parámetros!$C:$AL,33,0)+R10*VLOOKUP($B10,Parámetros!$C:$AL,34,0)+S10*VLOOKUP($B10,Parámetros!$C:$AL,35,0))*VLOOKUP($B10,Parámetros!$C:$AL,36,0)+T10)*(VLOOKUP($B10,Parámetros!$C:$AL,31,0))*(VLOOKUP($B10,Parámetros!$C:$AL,32,0)),Indices!$T$7)*D10,Indices!$U$7)</f>
        <v>6221.93</v>
      </c>
      <c r="V10" s="227">
        <f>+VLOOKUP($B10,Parámetros!$C:$AL,30,0)</f>
        <v>6221.93</v>
      </c>
      <c r="W10" s="300">
        <f t="shared" ref="W10:W15" si="2">+U10/V10-1</f>
        <v>0</v>
      </c>
      <c r="X10" s="268"/>
    </row>
    <row r="11" spans="1:40" x14ac:dyDescent="0.2">
      <c r="B11" s="175">
        <v>44652</v>
      </c>
      <c r="C11" s="175" t="s">
        <v>125</v>
      </c>
      <c r="D11" s="263">
        <f>+VLOOKUP(DATE(YEAR(B11),MONTH(B11)-2,1),Indices!$B:$F,2,0)</f>
        <v>807.07</v>
      </c>
      <c r="E11" s="264">
        <f>+VLOOKUP(DATE(YEAR(B11),MONTH(B11)-7,1),Indices!$B:$F,4,0)</f>
        <v>236.167</v>
      </c>
      <c r="F11" s="264">
        <f>+VLOOKUP(DATE(YEAR(B11),MONTH(B11)-7,1),Indices!$B:$F,5,0)</f>
        <v>235.678</v>
      </c>
      <c r="G11" s="263">
        <f>+VLOOKUP(DATE(YEAR(B11),MONTH(B11)-2,1),Indices!$B:$F,3,0)</f>
        <v>116.1</v>
      </c>
      <c r="H11" s="265" t="s">
        <v>48</v>
      </c>
      <c r="I11" s="263">
        <f>(VLOOKUP(B11,Parámetros!$C:$Q,5,0)*1.06237966711651+VLOOKUP(B11,Parámetros!$C:$Q,6,0)*1.17662506240639+VLOOKUP(B11,Parámetros!$C:$Q,7,0)*1.12119748913568*0.962159416159689)*Parámetros!F15</f>
        <v>585.67322993860864</v>
      </c>
      <c r="J11" s="263">
        <f>+(VLOOKUP($B11,Parámetros!$C:$L,9,0)*F11/Indices!$Q$7+VLOOKUP($B11,Parámetros!$C:$L,10,0)*Indices!$O$7/D11*G11/Indices!$R$7)*Parámetros!J15</f>
        <v>82.493646899153845</v>
      </c>
      <c r="K11" s="263">
        <f>+(VLOOKUP(B11,Parámetros!$C:$O,12,0)*F11/Indices!$Q$7+VLOOKUP(B11,Parámetros!$C:$O,13,0)*Indices!$O$7/D11*G11/Indices!$R$7)*Parámetros!M15</f>
        <v>13.035164037247776</v>
      </c>
      <c r="L11" s="263">
        <f>+Parámetros!P15*Indices!$O$7/D11*G11/Indices!$R$7</f>
        <v>1.1941991887519732</v>
      </c>
      <c r="M11" s="263">
        <f>+ROUND(ROUND(((I11*VLOOKUP($B11,Parámetros!$C:$AL,33,0)+J11*VLOOKUP($B11,Parámetros!$C:$AL,34,0)+K11*VLOOKUP($B11,Parámetros!$C:$AL,35,0))*VLOOKUP($B11,Parámetros!$C:$AL,36,0)+L11)*(VLOOKUP($B11,Parámetros!$C:$AL,16,0))*(VLOOKUP($B11,Parámetros!$C:$AL,17,0)),Indices!$T$7)*D11,Indices!$U$7)</f>
        <v>6604.98</v>
      </c>
      <c r="N11" s="263">
        <f>+VLOOKUP($B11,Parámetros!$C:$AL,15,0)</f>
        <v>6531.51</v>
      </c>
      <c r="O11" s="260">
        <f>+M11/N11-1</f>
        <v>1.1248547426245814E-2</v>
      </c>
      <c r="P11" s="265" t="s">
        <v>56</v>
      </c>
      <c r="Q11" s="263">
        <f>(VLOOKUP(B11,Parámetros!$C:$AL,20,0)*E11/Indices!$P$7+VLOOKUP(B11,Parámetros!$C:$AL,21,0)*F11/Indices!$Q$7+VLOOKUP(B11,Parámetros!$C:$AL,22,0)*G11/Indices!$R$7*Indices!$O$7/D11)*Parámetros!U15</f>
        <v>561.92896188967643</v>
      </c>
      <c r="R11" s="263">
        <f>+(VLOOKUP(B11,Parámetros!$C:$AL,24,0)*F11/Indices!$Q$7+VLOOKUP(B11,Parámetros!$C:$AL,25,0)*Indices!$O$7/D11*G11/Indices!$R$7)*Parámetros!Y15</f>
        <v>77.459636573053729</v>
      </c>
      <c r="S11" s="263">
        <f>+(VLOOKUP(B11,Parámetros!$C:$AL,27,0)*F11/Indices!$Q$7+VLOOKUP(B11,Parámetros!$C:$AL,28,0)*Indices!$O$7/D11*G11/Indices!$R$7)*Parámetros!AB15</f>
        <v>8.4223913370630346</v>
      </c>
      <c r="T11" s="263">
        <f>Parámetros!AE15*Indices!$O$7/D11*G11/Indices!$R$7</f>
        <v>1.0280684976338124</v>
      </c>
      <c r="U11" s="263">
        <f>+ROUND(ROUND(((Q11*VLOOKUP($B11,Parámetros!$C:$AL,33,0)+R11*VLOOKUP($B11,Parámetros!$C:$AL,34,0)+S11*VLOOKUP($B11,Parámetros!$C:$AL,35,0))*VLOOKUP($B11,Parámetros!$C:$AL,36,0)+T11)*(VLOOKUP($B11,Parámetros!$C:$AL,31,0))*(VLOOKUP($B11,Parámetros!$C:$AL,32,0)),Indices!$T$7)*D11,Indices!$U$7)</f>
        <v>6185.95</v>
      </c>
      <c r="V11" s="263">
        <f>+VLOOKUP($B11,Parámetros!$C:$AL,30,0)</f>
        <v>6119.19</v>
      </c>
      <c r="W11" s="260">
        <f t="shared" si="2"/>
        <v>1.0909940694765252E-2</v>
      </c>
    </row>
    <row r="12" spans="1:40" x14ac:dyDescent="0.2">
      <c r="B12" s="194">
        <v>44682</v>
      </c>
      <c r="C12" s="194" t="s">
        <v>125</v>
      </c>
      <c r="D12" s="269">
        <f>+VLOOKUP(DATE(YEAR(B12),MONTH(B12)-2,1),Indices!$B:$F,2,0)</f>
        <v>799.19</v>
      </c>
      <c r="E12" s="270">
        <f>+VLOOKUP(DATE(YEAR(B12),MONTH(B12)-7,1),Indices!$B:$F,4,0)</f>
        <v>236.761</v>
      </c>
      <c r="F12" s="270">
        <f>+VLOOKUP(DATE(YEAR(B12),MONTH(B12)-7,1),Indices!$B:$F,5,0)</f>
        <v>240.465</v>
      </c>
      <c r="G12" s="269">
        <f>+VLOOKUP(DATE(YEAR(B12),MONTH(B12)-2,1),Indices!$B:$F,3,0)</f>
        <v>118.26</v>
      </c>
      <c r="H12" s="271" t="s">
        <v>48</v>
      </c>
      <c r="I12" s="269">
        <f>(VLOOKUP(B12,Parámetros!$C:$Q,5,0)*E12/Indices!$P$7+VLOOKUP(B12,Parámetros!$C:$Q,6,0)*F12/Indices!$Q$7+VLOOKUP(B12,Parámetros!$C:$Q,7,0)*G12/Indices!$R$7*Indices!$O$7/D12)*Parámetros!F16</f>
        <v>591.11396329026832</v>
      </c>
      <c r="J12" s="269">
        <f>+(VLOOKUP($B12,Parámetros!$C:$L,9,0)*F12/Indices!$Q$7+VLOOKUP($B12,Parámetros!$C:$L,10,0)*Indices!$O$7/D12*G12/Indices!$R$7)*Parámetros!J16</f>
        <v>84.464069212891303</v>
      </c>
      <c r="K12" s="269">
        <f>+(VLOOKUP(B12,Parámetros!$C:$O,12,0)*F12/Indices!$Q$7+VLOOKUP(B12,Parámetros!$C:$O,13,0)*Indices!$O$7/D12*G12/Indices!$R$7)*Parámetros!M16</f>
        <v>13.390716186708621</v>
      </c>
      <c r="L12" s="269">
        <f>+Parámetros!P16*Indices!$O$7/D12*G12/Indices!$R$7</f>
        <v>1.2284106978040035</v>
      </c>
      <c r="M12" s="269">
        <f>+ROUND(ROUND(((I12*VLOOKUP($B12,Parámetros!$C:$AL,33,0)+J12*VLOOKUP($B12,Parámetros!$C:$AL,34,0)+K12*VLOOKUP($B12,Parámetros!$C:$AL,35,0))*VLOOKUP($B12,Parámetros!$C:$AL,36,0)+L12)*(VLOOKUP($B12,Parámetros!$C:$AL,16,0))*(VLOOKUP($B12,Parámetros!$C:$AL,17,0)),Indices!$T$7)*D12,Indices!$U$7)</f>
        <v>6632.48</v>
      </c>
      <c r="N12" s="269">
        <f>+VLOOKUP($B12,Parámetros!$C:$AL,15,0)</f>
        <v>6531.51</v>
      </c>
      <c r="O12" s="272">
        <f t="shared" ref="O12" si="3">+M12/N12-1</f>
        <v>1.5458906133497319E-2</v>
      </c>
      <c r="P12" s="271" t="s">
        <v>56</v>
      </c>
      <c r="Q12" s="269">
        <f>(VLOOKUP(B12,Parámetros!$C:$AL,20,0)*E12/Indices!$P$7+VLOOKUP(B12,Parámetros!$C:$AL,21,0)*F12/Indices!$Q$7+VLOOKUP(B12,Parámetros!$C:$AL,22,0)*G12/Indices!$R$7*Indices!$O$7/D12)*Parámetros!U16</f>
        <v>567.09241452190724</v>
      </c>
      <c r="R12" s="269">
        <f>+(VLOOKUP(B12,Parámetros!$C:$AL,24,0)*F12/Indices!$Q$7+VLOOKUP(B12,Parámetros!$C:$AL,25,0)*Indices!$O$7/D12*G12/Indices!$R$7)*Parámetros!Y16</f>
        <v>79.250746803851499</v>
      </c>
      <c r="S12" s="269">
        <f>+(VLOOKUP(B12,Parámetros!$C:$AL,27,0)*F12/Indices!$Q$7+VLOOKUP(B12,Parámetros!$C:$AL,28,0)*Indices!$O$7/D12*G12/Indices!$R$7)*Parámetros!AB16</f>
        <v>8.6543340405037998</v>
      </c>
      <c r="T12" s="269">
        <f>Parámetros!AE16*Indices!$O$7/D12*G12/Indices!$R$7</f>
        <v>1.0575206820300047</v>
      </c>
      <c r="U12" s="269">
        <f>+ROUND(ROUND(((Q12*VLOOKUP($B12,Parámetros!$C:$AL,33,0)+R12*VLOOKUP($B12,Parámetros!$C:$AL,34,0)+S12*VLOOKUP($B12,Parámetros!$C:$AL,35,0))*VLOOKUP($B12,Parámetros!$C:$AL,36,0)+T12)*(VLOOKUP($B12,Parámetros!$C:$AL,31,0))*(VLOOKUP($B12,Parámetros!$C:$AL,32,0)),Indices!$T$7)*D12,Indices!$U$7)</f>
        <v>6208.83</v>
      </c>
      <c r="V12" s="269">
        <f>+VLOOKUP($B12,Parámetros!$C:$AL,30,0)</f>
        <v>6119.19</v>
      </c>
      <c r="W12" s="273">
        <f t="shared" si="2"/>
        <v>1.4648997661455221E-2</v>
      </c>
    </row>
    <row r="13" spans="1:40" x14ac:dyDescent="0.2">
      <c r="B13" s="175">
        <v>44713</v>
      </c>
      <c r="C13" s="175" t="s">
        <v>125</v>
      </c>
      <c r="D13" s="263">
        <f>+VLOOKUP(DATE(YEAR(B13),MONTH(B13)-2,1),Indices!$B:$F,2,0)</f>
        <v>815.12</v>
      </c>
      <c r="E13" s="264">
        <f>+VLOOKUP(DATE(YEAR(B13),MONTH(B13)-7,1),Indices!$B:$F,4,0)</f>
        <v>237.08600000000001</v>
      </c>
      <c r="F13" s="264">
        <f>+VLOOKUP(DATE(YEAR(B13),MONTH(B13)-7,1),Indices!$B:$F,5,0)</f>
        <v>243.28700000000001</v>
      </c>
      <c r="G13" s="263">
        <f>+VLOOKUP(DATE(YEAR(B13),MONTH(B13)-2,1),Indices!$B:$F,3,0)</f>
        <v>119.91</v>
      </c>
      <c r="H13" s="265" t="s">
        <v>48</v>
      </c>
      <c r="I13" s="263">
        <f>(VLOOKUP(B13,Parámetros!$C:$Q,5,0)*E13/Indices!$P$7+VLOOKUP(B13,Parámetros!$C:$Q,6,0)*F13/Indices!$Q$7+VLOOKUP(B13,Parámetros!$C:$Q,7,0)*G13/Indices!$R$7*Indices!$O$7/D13)*Parámetros!F17</f>
        <v>591.39158460855913</v>
      </c>
      <c r="J13" s="263">
        <f>+(VLOOKUP($B13,Parámetros!$C:$L,9,0)*F13/Indices!$Q$7+VLOOKUP($B13,Parámetros!$C:$L,10,0)*Indices!$O$7/D13*G13/Indices!$R$7)*Parámetros!J17</f>
        <v>84.815030242384807</v>
      </c>
      <c r="K13" s="263">
        <f>+(VLOOKUP(B13,Parámetros!$C:$O,12,0)*F13/Indices!$Q$7+VLOOKUP(B13,Parámetros!$C:$O,13,0)*Indices!$O$7/D13*G13/Indices!$R$7)*Parámetros!M17</f>
        <v>13.350713345268256</v>
      </c>
      <c r="L13" s="263">
        <f>+Parámetros!P17*Indices!$O$7/D13*G13/Indices!$R$7</f>
        <v>1.2212079139808087</v>
      </c>
      <c r="M13" s="263">
        <f>+ROUND(ROUND(((I13*VLOOKUP($B13,Parámetros!$C:$AL,33,0)+J13*VLOOKUP($B13,Parámetros!$C:$AL,34,0)+K13*VLOOKUP($B13,Parámetros!$C:$AL,35,0))*VLOOKUP($B13,Parámetros!$C:$AL,36,0)+L13)*(VLOOKUP($B13,Parámetros!$C:$AL,16,0))*(VLOOKUP($B13,Parámetros!$C:$AL,17,0)),Indices!$T$7)*D13,Indices!$U$7)</f>
        <v>6762.89</v>
      </c>
      <c r="N13" s="263">
        <f>+VLOOKUP($B13,Parámetros!$C:$AL,15,0)</f>
        <v>6531.51</v>
      </c>
      <c r="O13" s="260">
        <f t="shared" ref="O13" si="4">+M13/N13-1</f>
        <v>3.5425192643048886E-2</v>
      </c>
      <c r="P13" s="265" t="s">
        <v>56</v>
      </c>
      <c r="Q13" s="263">
        <f>(VLOOKUP(B13,Parámetros!$C:$AL,20,0)*E13/Indices!$P$7+VLOOKUP(B13,Parámetros!$C:$AL,21,0)*F13/Indices!$Q$7+VLOOKUP(B13,Parámetros!$C:$AL,22,0)*G13/Indices!$R$7*Indices!$O$7/D13)*Parámetros!U17</f>
        <v>567.37776362222178</v>
      </c>
      <c r="R13" s="263">
        <f>+(VLOOKUP(B13,Parámetros!$C:$AL,24,0)*F13/Indices!$Q$7+VLOOKUP(B13,Parámetros!$C:$AL,25,0)*Indices!$O$7/D13*G13/Indices!$R$7)*Parámetros!Y17</f>
        <v>79.707875103844614</v>
      </c>
      <c r="S13" s="263">
        <f>+(VLOOKUP(B13,Parámetros!$C:$AL,27,0)*F13/Indices!$Q$7+VLOOKUP(B13,Parámetros!$C:$AL,28,0)*Indices!$O$7/D13*G13/Indices!$R$7)*Parámetros!AB17</f>
        <v>8.6237131296598744</v>
      </c>
      <c r="T13" s="263">
        <f>Parámetros!AE17*Indices!$O$7/D13*G13/Indices!$R$7</f>
        <v>1.0513199114938665</v>
      </c>
      <c r="U13" s="263">
        <f>+ROUND(ROUND(((Q13*VLOOKUP($B13,Parámetros!$C:$AL,33,0)+R13*VLOOKUP($B13,Parámetros!$C:$AL,34,0)+S13*VLOOKUP($B13,Parámetros!$C:$AL,35,0))*VLOOKUP($B13,Parámetros!$C:$AL,36,0)+T13)*(VLOOKUP($B13,Parámetros!$C:$AL,31,0))*(VLOOKUP($B13,Parámetros!$C:$AL,32,0)),Indices!$T$7)*D13,Indices!$U$7)</f>
        <v>6332.67</v>
      </c>
      <c r="V13" s="263">
        <f>+VLOOKUP($B13,Parámetros!$C:$AL,30,0)</f>
        <v>6119.19</v>
      </c>
      <c r="W13" s="260">
        <f t="shared" si="2"/>
        <v>3.4886970334309098E-2</v>
      </c>
    </row>
    <row r="14" spans="1:40" x14ac:dyDescent="0.2">
      <c r="B14" s="194">
        <v>44743</v>
      </c>
      <c r="C14" s="194" t="s">
        <v>125</v>
      </c>
      <c r="D14" s="269">
        <f>+VLOOKUP(DATE(YEAR(B14),MONTH(B14)-2,1),Indices!$B:$F,2,0)</f>
        <v>849.39</v>
      </c>
      <c r="E14" s="270">
        <f>+VLOOKUP(DATE(YEAR(B14),MONTH(B14)-7,1),Indices!$B:$F,4,0)</f>
        <v>237.66900000000001</v>
      </c>
      <c r="F14" s="270">
        <f>+VLOOKUP(DATE(YEAR(B14),MONTH(B14)-7,1),Indices!$B:$F,5,0)</f>
        <v>241.33799999999999</v>
      </c>
      <c r="G14" s="269">
        <f>+VLOOKUP(DATE(YEAR(B14),MONTH(B14)-2,1),Indices!$B:$F,3,0)</f>
        <v>121.35000000000001</v>
      </c>
      <c r="H14" s="271" t="s">
        <v>48</v>
      </c>
      <c r="I14" s="269">
        <f>(VLOOKUP(B14,Parámetros!$C:$Q,5,0)*E14/Indices!$P$7+VLOOKUP(B14,Parámetros!$C:$Q,6,0)*F14/Indices!$Q$7+VLOOKUP(B14,Parámetros!$C:$Q,7,0)*G14/Indices!$R$7*Indices!$O$7/D14)*Parámetros!F18</f>
        <v>588.40754241581885</v>
      </c>
      <c r="J14" s="269">
        <f>+(VLOOKUP($B14,Parámetros!$C:$L,9,0)*F14/Indices!$Q$7+VLOOKUP($B14,Parámetros!$C:$L,10,0)*Indices!$O$7/D14*G14/Indices!$R$7)*Parámetros!J18</f>
        <v>83.382878685911464</v>
      </c>
      <c r="K14" s="269">
        <f>+(VLOOKUP(B14,Parámetros!$C:$O,12,0)*F14/Indices!$Q$7+VLOOKUP(B14,Parámetros!$C:$O,13,0)*Indices!$O$7/D14*G14/Indices!$R$7)*Parámetros!M18</f>
        <v>13.011994477298686</v>
      </c>
      <c r="L14" s="269">
        <f>+Parámetros!P18*Indices!$O$7/D14*G14/Indices!$R$7</f>
        <v>1.1860101159482936</v>
      </c>
      <c r="M14" s="269">
        <f>+ROUND(ROUND(((I14*VLOOKUP($B14,Parámetros!$C:$AL,33,0)+J14*VLOOKUP($B14,Parámetros!$C:$AL,34,0)+K14*VLOOKUP($B14,Parámetros!$C:$AL,35,0))*VLOOKUP($B14,Parámetros!$C:$AL,36,0)+L14)*(VLOOKUP($B14,Parámetros!$C:$AL,16,0))*(VLOOKUP($B14,Parámetros!$C:$AL,17,0)),Indices!$T$7)*D14,Indices!$U$7)</f>
        <v>6974.26</v>
      </c>
      <c r="N14" s="269">
        <f>+VLOOKUP($B14,Parámetros!$C:$AL,15,0)</f>
        <v>6531.51</v>
      </c>
      <c r="O14" s="272">
        <f t="shared" ref="O14" si="5">+M14/N14-1</f>
        <v>6.7786775186748471E-2</v>
      </c>
      <c r="P14" s="271" t="s">
        <v>56</v>
      </c>
      <c r="Q14" s="269">
        <f>(VLOOKUP(B14,Parámetros!$C:$AL,20,0)*E14/Indices!$P$7+VLOOKUP(B14,Parámetros!$C:$AL,21,0)*F14/Indices!$Q$7+VLOOKUP(B14,Parámetros!$C:$AL,22,0)*G14/Indices!$R$7*Indices!$O$7/D14)*Parámetros!U18</f>
        <v>564.5860582418012</v>
      </c>
      <c r="R14" s="269">
        <f>+(VLOOKUP(B14,Parámetros!$C:$AL,24,0)*F14/Indices!$Q$7+VLOOKUP(B14,Parámetros!$C:$AL,25,0)*Indices!$O$7/D14*G14/Indices!$R$7)*Parámetros!Y18</f>
        <v>78.513367785864546</v>
      </c>
      <c r="S14" s="269">
        <f>+(VLOOKUP(B14,Parámetros!$C:$AL,27,0)*F14/Indices!$Q$7+VLOOKUP(B14,Parámetros!$C:$AL,28,0)*Indices!$O$7/D14*G14/Indices!$R$7)*Parámetros!AB18</f>
        <v>8.3992351538911265</v>
      </c>
      <c r="T14" s="269">
        <f>Parámetros!AE18*Indices!$O$7/D14*G14/Indices!$R$7</f>
        <v>1.0210186454369683</v>
      </c>
      <c r="U14" s="269">
        <f>+ROUND(ROUND(((Q14*VLOOKUP($B14,Parámetros!$C:$AL,33,0)+R14*VLOOKUP($B14,Parámetros!$C:$AL,34,0)+S14*VLOOKUP($B14,Parámetros!$C:$AL,35,0))*VLOOKUP($B14,Parámetros!$C:$AL,36,0)+T14)*(VLOOKUP($B14,Parámetros!$C:$AL,31,0))*(VLOOKUP($B14,Parámetros!$C:$AL,32,0)),Indices!$T$7)*D14,Indices!$U$7)</f>
        <v>6534.95</v>
      </c>
      <c r="V14" s="269">
        <f>+VLOOKUP($B14,Parámetros!$C:$AL,30,0)</f>
        <v>6119.19</v>
      </c>
      <c r="W14" s="273">
        <f t="shared" si="2"/>
        <v>6.7943633062545805E-2</v>
      </c>
    </row>
    <row r="15" spans="1:40" x14ac:dyDescent="0.2">
      <c r="B15" s="38">
        <v>44774</v>
      </c>
      <c r="C15" s="38" t="s">
        <v>125</v>
      </c>
      <c r="D15" s="233">
        <f>+VLOOKUP(DATE(YEAR(B15),MONTH(B15)-2,1),Indices!$B:$F,2,0)</f>
        <v>857.77</v>
      </c>
      <c r="E15" s="228">
        <f>+VLOOKUP(DATE(YEAR(B15),MONTH(B15)-7,1),Indices!$B:$F,4,0)</f>
        <v>239.96700000000001</v>
      </c>
      <c r="F15" s="228">
        <f>+VLOOKUP(DATE(YEAR(B15),MONTH(B15)-7,1),Indices!$B:$F,5,0)</f>
        <v>246.453</v>
      </c>
      <c r="G15" s="233">
        <f>+VLOOKUP(DATE(YEAR(B15),MONTH(B15)-2,1),Indices!$B:$F,3,0)</f>
        <v>122.48</v>
      </c>
      <c r="H15" s="234" t="s">
        <v>48</v>
      </c>
      <c r="I15" s="233">
        <f>(VLOOKUP(B15,Parámetros!$C:$Q,5,0)*E15/Indices!$P$7+VLOOKUP(B15,Parámetros!$C:$Q,6,0)*F15/Indices!$Q$7+VLOOKUP(B15,Parámetros!$C:$Q,7,0)*G15/Indices!$R$7*Indices!$O$7/D15)*Parámetros!F19</f>
        <v>593.2695196920472</v>
      </c>
      <c r="J15" s="233">
        <f>+(VLOOKUP($B15,Parámetros!$C:$L,9,0)*F15/Indices!$Q$7+VLOOKUP($B15,Parámetros!$C:$L,10,0)*Indices!$O$7/D15*G15/Indices!$R$7)*Parámetros!J19</f>
        <v>84.386395203357054</v>
      </c>
      <c r="K15" s="233">
        <f>+(VLOOKUP(B15,Parámetros!$C:$O,12,0)*F15/Indices!$Q$7+VLOOKUP(B15,Parámetros!$C:$O,13,0)*Indices!$O$7/D15*G15/Indices!$R$7)*Parámetros!M19</f>
        <v>13.052610950457698</v>
      </c>
      <c r="L15" s="233">
        <f>+Parámetros!P19*Indices!$O$7/D15*G15/Indices!$R$7</f>
        <v>1.1853594900281754</v>
      </c>
      <c r="M15" s="233">
        <f>+ROUND(ROUND(((I15*VLOOKUP($B15,Parámetros!$C:$AL,33,0)+J15*VLOOKUP($B15,Parámetros!$C:$AL,34,0)+K15*VLOOKUP($B15,Parámetros!$C:$AL,35,0))*VLOOKUP($B15,Parámetros!$C:$AL,36,0)+L15)*(VLOOKUP($B15,Parámetros!$C:$AL,16,0))*(VLOOKUP($B15,Parámetros!$C:$AL,17,0)),Indices!$T$7)*D15,Indices!$U$7)</f>
        <v>7093.33</v>
      </c>
      <c r="N15" s="233">
        <f>+VLOOKUP($B15,Parámetros!$C:$AL,15,0)</f>
        <v>6531.51</v>
      </c>
      <c r="O15" s="235">
        <f t="shared" ref="O15:O19" si="6">+M15/N15-1</f>
        <v>8.6016862869382482E-2</v>
      </c>
      <c r="P15" s="234" t="s">
        <v>56</v>
      </c>
      <c r="Q15" s="233">
        <f>(VLOOKUP(B15,Parámetros!$C:$AL,20,0)*E15/Indices!$P$7+VLOOKUP(B15,Parámetros!$C:$AL,21,0)*F15/Indices!$Q$7+VLOOKUP(B15,Parámetros!$C:$AL,22,0)*G15/Indices!$R$7*Indices!$O$7/D15)*Parámetros!U19</f>
        <v>569.27674633896129</v>
      </c>
      <c r="R15" s="233">
        <f>+(VLOOKUP(B15,Parámetros!$C:$AL,24,0)*F15/Indices!$Q$7+VLOOKUP(B15,Parámetros!$C:$AL,25,0)*Indices!$O$7/D15*G15/Indices!$R$7)*Parámetros!Y19</f>
        <v>79.613293998235903</v>
      </c>
      <c r="S15" s="233">
        <f>+(VLOOKUP(B15,Parámetros!$C:$AL,27,0)*F15/Indices!$Q$7+VLOOKUP(B15,Parámetros!$C:$AL,28,0)*Indices!$O$7/D15*G15/Indices!$R$7)*Parámetros!AB19</f>
        <v>8.4195797733669711</v>
      </c>
      <c r="T15" s="233">
        <f>Parámetros!AE19*Indices!$O$7/D15*G15/Indices!$R$7</f>
        <v>1.020458531162467</v>
      </c>
      <c r="U15" s="233">
        <f>+ROUND(ROUND(((Q15*VLOOKUP($B15,Parámetros!$C:$AL,33,0)+R15*VLOOKUP($B15,Parámetros!$C:$AL,34,0)+S15*VLOOKUP($B15,Parámetros!$C:$AL,35,0))*VLOOKUP($B15,Parámetros!$C:$AL,36,0)+T15)*(VLOOKUP($B15,Parámetros!$C:$AL,31,0))*(VLOOKUP($B15,Parámetros!$C:$AL,32,0)),Indices!$T$7)*D15,Indices!$U$7)</f>
        <v>6648.92</v>
      </c>
      <c r="V15" s="233">
        <f>+VLOOKUP($B15,Parámetros!$C:$AL,30,0)</f>
        <v>6119.19</v>
      </c>
      <c r="W15" s="235">
        <f t="shared" si="2"/>
        <v>8.6568647157548639E-2</v>
      </c>
    </row>
    <row r="16" spans="1:40" x14ac:dyDescent="0.2">
      <c r="B16" s="278">
        <v>44805</v>
      </c>
      <c r="C16" s="278" t="s">
        <v>126</v>
      </c>
      <c r="D16" s="279">
        <f>+VLOOKUP(DATE(YEAR(B16),MONTH(B16)-2,1),Indices!$B:$F,2,0)</f>
        <v>953.71</v>
      </c>
      <c r="E16" s="280">
        <f>+VLOOKUP(DATE(YEAR(B16),MONTH(B16)-7,1),Indices!$B:$F,4,0)</f>
        <v>239.23699999999999</v>
      </c>
      <c r="F16" s="280">
        <f>+VLOOKUP(DATE(YEAR(B16),MONTH(B16)-7,1),Indices!$B:$F,5,0)</f>
        <v>252.66</v>
      </c>
      <c r="G16" s="279">
        <f>+VLOOKUP(DATE(YEAR(B16),MONTH(B16)-2,1),Indices!$B:$F,3,0)</f>
        <v>124.16</v>
      </c>
      <c r="H16" s="281" t="s">
        <v>48</v>
      </c>
      <c r="I16" s="279">
        <f>(VLOOKUP(B16,Parámetros!$C:$Q,5,0)*E16/Indices!$P$7+VLOOKUP(B16,Parámetros!$C:$Q,6,0)*F16/Indices!$Q$7+VLOOKUP(B16,Parámetros!$C:$Q,7,0)*G16/Indices!$R$7*Indices!$O$7/D16)*Parámetros!F20</f>
        <v>581.94346025474556</v>
      </c>
      <c r="J16" s="279">
        <f>+(VLOOKUP($B16,Parámetros!$C:$L,9,0)*F16/Indices!$Q$7+VLOOKUP($B16,Parámetros!$C:$L,10,0)*Indices!$O$7/D16*G16/Indices!$R$7)*Parámetros!J20</f>
        <v>82.529071653263969</v>
      </c>
      <c r="K16" s="279">
        <f>+(VLOOKUP(B16,Parámetros!$C:$O,12,0)*F16/Indices!$Q$7+VLOOKUP(B16,Parámetros!$C:$O,13,0)*Indices!$O$7/D16*G16/Indices!$R$7)*Parámetros!M20</f>
        <v>12.155032534042336</v>
      </c>
      <c r="L16" s="279">
        <f>+Parámetros!P20*Indices!$O$7/D16*G16/Indices!$R$7</f>
        <v>1.0807397464214834</v>
      </c>
      <c r="M16" s="282">
        <f>+ROUND(ROUND(((I16*VLOOKUP($B16,Parámetros!$C:$AL,33,0)+J16*VLOOKUP($B16,Parámetros!$C:$AL,34,0)+K16*VLOOKUP($B16,Parámetros!$C:$AL,35,0))*VLOOKUP($B16,Parámetros!$C:$AL,36,0)+L16)*(VLOOKUP($B16,Parámetros!$C:$AL,16,0))*(VLOOKUP($B16,Parámetros!$C:$AL,17,0)),Indices!$T$7)*D16,Indices!$U$7)</f>
        <v>7641.7</v>
      </c>
      <c r="N16" s="282">
        <v>7641.7</v>
      </c>
      <c r="O16" s="283">
        <f t="shared" si="6"/>
        <v>0</v>
      </c>
      <c r="P16" s="284" t="s">
        <v>56</v>
      </c>
      <c r="Q16" s="282">
        <f>(VLOOKUP(B16,Parámetros!$C:$AL,20,0)*E16/Indices!$P$7+VLOOKUP(B16,Parámetros!$C:$AL,21,0)*F16/Indices!$Q$7+VLOOKUP(B16,Parámetros!$C:$AL,22,0)*G16/Indices!$R$7*Indices!$O$7/D16)*Parámetros!U20</f>
        <v>558.60943008261154</v>
      </c>
      <c r="R16" s="282">
        <f>+(VLOOKUP(B16,Parámetros!$C:$AL,24,0)*F16/Indices!$Q$7+VLOOKUP(B16,Parámetros!$C:$AL,25,0)*Indices!$O$7/D16*G16/Indices!$R$7)*Parámetros!Y20</f>
        <v>78.676696440248165</v>
      </c>
      <c r="S16" s="282">
        <f>+(VLOOKUP(B16,Parámetros!$C:$AL,27,0)*F16/Indices!$Q$7+VLOOKUP(B16,Parámetros!$C:$AL,28,0)*Indices!$O$7/D16*G16/Indices!$R$7)*Parámetros!AB20</f>
        <v>7.8094179837938453</v>
      </c>
      <c r="T16" s="282">
        <f>Parámetros!AE20*Indices!$O$7/D16*G16/Indices!$R$7</f>
        <v>0.93039293436284887</v>
      </c>
      <c r="U16" s="282">
        <f>+ROUND(ROUND(((Q16*VLOOKUP($B16,Parámetros!$C:$AL,33,0)+R16*VLOOKUP($B16,Parámetros!$C:$AL,34,0)+S16*VLOOKUP($B16,Parámetros!$C:$AL,35,0))*VLOOKUP($B16,Parámetros!$C:$AL,36,0)+T16)*(VLOOKUP($B16,Parámetros!$C:$AL,31,0))*(VLOOKUP($B16,Parámetros!$C:$AL,32,0)),Indices!$T$7)*D16,Indices!$U$7)</f>
        <v>7180.29</v>
      </c>
      <c r="V16" s="279">
        <v>7180.29</v>
      </c>
      <c r="W16" s="285">
        <f t="shared" ref="W16" si="7">+U16/V16-1</f>
        <v>0</v>
      </c>
    </row>
    <row r="17" spans="2:31" x14ac:dyDescent="0.2">
      <c r="B17" s="38">
        <v>44835</v>
      </c>
      <c r="C17" s="38" t="s">
        <v>127</v>
      </c>
      <c r="D17" s="233">
        <f>+VLOOKUP(DATE(YEAR(B17),MONTH(B17)-2,1),Indices!$B:$F,2,0)</f>
        <v>904.35</v>
      </c>
      <c r="E17" s="228">
        <f>+VLOOKUP(DATE(YEAR(B17),MONTH(B17)-7,1),Indices!$B:$F,4,0)</f>
        <v>241.803</v>
      </c>
      <c r="F17" s="228">
        <f>+VLOOKUP(DATE(YEAR(B17),MONTH(B17)-7,1),Indices!$B:$F,5,0)</f>
        <v>260.01400000000001</v>
      </c>
      <c r="G17" s="233">
        <f>+VLOOKUP(DATE(YEAR(B17),MONTH(B17)-2,1),Indices!$B:$F,3,0)</f>
        <v>125.67</v>
      </c>
      <c r="H17" s="234" t="s">
        <v>48</v>
      </c>
      <c r="I17" s="233">
        <f>(VLOOKUP(B17,Parámetros!$C:$Q,5,0)*E17/Indices!$P$7+VLOOKUP(B17,Parámetros!$C:$Q,6,0)*F17/Indices!$Q$7+VLOOKUP(B17,Parámetros!$C:$Q,7,0)*G17/Indices!$R$7*Indices!$O$7/D17)*Parámetros!F21</f>
        <v>595.39273943574165</v>
      </c>
      <c r="J17" s="233">
        <f>+(VLOOKUP($B17,Parámetros!$C:$L,9,0)*F17/Indices!$Q$7+VLOOKUP($B17,Parámetros!$C:$L,10,0)*Indices!$O$7/D17*G17/Indices!$R$7)*Parámetros!J21</f>
        <v>86.157076729838167</v>
      </c>
      <c r="K17" s="233">
        <f>+(VLOOKUP(B17,Parámetros!$C:$O,12,0)*F17/Indices!$Q$7+VLOOKUP(B17,Parámetros!$C:$O,13,0)*Indices!$O$7/D17*G17/Indices!$R$7)*Parámetros!M21</f>
        <v>12.886291162046234</v>
      </c>
      <c r="L17" s="233">
        <f>+Parámetros!P21*Indices!$O$7/D17*G17/Indices!$R$7</f>
        <v>1.1535882622979756</v>
      </c>
      <c r="M17" s="290">
        <f>+ROUND(ROUND(((I17*VLOOKUP($B17,Parámetros!$C:$AL,33,0)+J17*VLOOKUP($B17,Parámetros!$C:$AL,34,0)+K17*VLOOKUP($B17,Parámetros!$C:$AL,35,0))*VLOOKUP($B17,Parámetros!$C:$AL,36,0)+L17)*(VLOOKUP($B17,Parámetros!$C:$AL,16,0))*(VLOOKUP($B17,Parámetros!$C:$AL,17,0)),Indices!$T$7)*D17,Indices!$U$7)</f>
        <v>7479.97</v>
      </c>
      <c r="N17" s="290">
        <f>+VLOOKUP($B17,Parámetros!$C:$AL,15,0)</f>
        <v>6974.43</v>
      </c>
      <c r="O17" s="291">
        <f t="shared" si="6"/>
        <v>7.248477653370955E-2</v>
      </c>
      <c r="P17" s="292" t="s">
        <v>56</v>
      </c>
      <c r="Q17" s="290">
        <f>(VLOOKUP(B17,Parámetros!$C:$AL,20,0)*E17/Indices!$P$7+VLOOKUP(B17,Parámetros!$C:$AL,21,0)*F17/Indices!$Q$7+VLOOKUP(B17,Parámetros!$C:$AL,22,0)*G17/Indices!$R$7*Indices!$O$7/D17)*Parámetros!U21</f>
        <v>571.40209550547672</v>
      </c>
      <c r="R17" s="290">
        <f>+(VLOOKUP(B17,Parámetros!$C:$AL,24,0)*F17/Indices!$Q$7+VLOOKUP(B17,Parámetros!$C:$AL,25,0)*Indices!$O$7/D17*G17/Indices!$R$7)*Parámetros!Y21</f>
        <v>81.872162630067251</v>
      </c>
      <c r="S17" s="290">
        <f>+(VLOOKUP(B17,Parámetros!$C:$AL,27,0)*F17/Indices!$Q$7+VLOOKUP(B17,Parámetros!$C:$AL,28,0)*Indices!$O$7/D17*G17/Indices!$R$7)*Parámetros!AB21</f>
        <v>8.2898057413822581</v>
      </c>
      <c r="T17" s="290">
        <f>Parámetros!AE21*Indices!$O$7/D17*G17/Indices!$R$7</f>
        <v>0.99310714902436381</v>
      </c>
      <c r="U17" s="290">
        <f>+ROUND(ROUND(((Q17*VLOOKUP($B17,Parámetros!$C:$AL,33,0)+R17*VLOOKUP($B17,Parámetros!$C:$AL,34,0)+S17*VLOOKUP($B17,Parámetros!$C:$AL,35,0))*VLOOKUP($B17,Parámetros!$C:$AL,36,0)+T17)*(VLOOKUP($B17,Parámetros!$C:$AL,31,0))*(VLOOKUP($B17,Parámetros!$C:$AL,32,0)),Indices!$T$7)*D17,Indices!$U$7)</f>
        <v>7020.38</v>
      </c>
      <c r="V17" s="233">
        <f>+VLOOKUP($B17,Parámetros!$C:$AL,30,0)</f>
        <v>6535.12</v>
      </c>
      <c r="W17" s="235">
        <f t="shared" ref="W17" si="8">+U17/V17-1</f>
        <v>7.4254183549804731E-2</v>
      </c>
    </row>
    <row r="18" spans="2:31" x14ac:dyDescent="0.2">
      <c r="B18" s="278">
        <v>44866</v>
      </c>
      <c r="C18" s="278" t="s">
        <v>127</v>
      </c>
      <c r="D18" s="279">
        <f>+VLOOKUP(DATE(YEAR(B18),MONTH(B18)-2,1),Indices!$B:$F,2,0)</f>
        <v>921.01</v>
      </c>
      <c r="E18" s="280">
        <f>+VLOOKUP(DATE(YEAR(B18),MONTH(B18)-7,1),Indices!$B:$F,4,0)</f>
        <v>247.43899999999999</v>
      </c>
      <c r="F18" s="280">
        <f>+VLOOKUP(DATE(YEAR(B18),MONTH(B18)-7,1),Indices!$B:$F,5,0)</f>
        <v>265.31</v>
      </c>
      <c r="G18" s="279">
        <f>+VLOOKUP(DATE(YEAR(B18),MONTH(B18)-2,1),Indices!$B:$F,3,0)</f>
        <v>126.75</v>
      </c>
      <c r="H18" s="281" t="s">
        <v>48</v>
      </c>
      <c r="I18" s="279">
        <f>(VLOOKUP(B18,Parámetros!$C:$Q,5,0)*E18/Indices!$P$7+VLOOKUP(B18,Parámetros!$C:$Q,6,0)*F18/Indices!$Q$7+VLOOKUP(B18,Parámetros!$C:$Q,7,0)*G18/Indices!$R$7*Indices!$O$7/D18)*Parámetros!F22</f>
        <v>605.13936377695939</v>
      </c>
      <c r="J18" s="279">
        <f>+(VLOOKUP($B18,Parámetros!$C:$L,9,0)*F18/Indices!$Q$7+VLOOKUP($B18,Parámetros!$C:$L,10,0)*Indices!$O$7/D18*G18/Indices!$R$7)*Parámetros!J22</f>
        <v>86.886348876101465</v>
      </c>
      <c r="K18" s="279">
        <f>+(VLOOKUP(B18,Parámetros!$C:$O,12,0)*F18/Indices!$Q$7+VLOOKUP(B18,Parámetros!$C:$O,13,0)*Indices!$O$7/D18*G18/Indices!$R$7)*Parámetros!M22</f>
        <v>12.832966438075566</v>
      </c>
      <c r="L18" s="279">
        <f>+Parámetros!P22*Indices!$O$7/D18*G18/Indices!$R$7</f>
        <v>1.1424557259586079</v>
      </c>
      <c r="M18" s="282">
        <f>+ROUND(ROUND(((I18*VLOOKUP($B18,Parámetros!$C:$AL,33,0)+J18*VLOOKUP($B18,Parámetros!$C:$AL,34,0)+K18*VLOOKUP($B18,Parámetros!$C:$AL,35,0))*VLOOKUP($B18,Parámetros!$C:$AL,36,0)+L18)*(VLOOKUP($B18,Parámetros!$C:$AL,16,0))*(VLOOKUP($B18,Parámetros!$C:$AL,17,0)),Indices!$T$7)*D18,Indices!$U$7)</f>
        <v>7703.79</v>
      </c>
      <c r="N18" s="282">
        <f>+VLOOKUP($B18,Parámetros!$C:$AL,15,0)</f>
        <v>6974.43</v>
      </c>
      <c r="O18" s="283">
        <f t="shared" si="6"/>
        <v>0.10457628795471452</v>
      </c>
      <c r="P18" s="284" t="s">
        <v>56</v>
      </c>
      <c r="Q18" s="282">
        <f>(VLOOKUP(B18,Parámetros!$C:$AL,20,0)*E18/Indices!$P$7+VLOOKUP(B18,Parámetros!$C:$AL,21,0)*F18/Indices!$Q$7+VLOOKUP(B18,Parámetros!$C:$AL,22,0)*G18/Indices!$R$7*Indices!$O$7/D18)*Parámetros!U22</f>
        <v>580.8295275652473</v>
      </c>
      <c r="R18" s="282">
        <f>+(VLOOKUP(B18,Parámetros!$C:$AL,24,0)*F18/Indices!$Q$7+VLOOKUP(B18,Parámetros!$C:$AL,25,0)*Indices!$O$7/D18*G18/Indices!$R$7)*Parámetros!Y22</f>
        <v>82.782216682835596</v>
      </c>
      <c r="S18" s="282">
        <f>+(VLOOKUP(B18,Parámetros!$C:$AL,27,0)*F18/Indices!$Q$7+VLOOKUP(B18,Parámetros!$C:$AL,28,0)*Indices!$O$7/D18*G18/Indices!$R$7)*Parámetros!AB22</f>
        <v>8.2469214340664561</v>
      </c>
      <c r="T18" s="282">
        <f>Parámetros!AE22*Indices!$O$7/D18*G18/Indices!$R$7</f>
        <v>0.9835233124106173</v>
      </c>
      <c r="U18" s="282">
        <f>+ROUND(ROUND(((Q18*VLOOKUP($B18,Parámetros!$C:$AL,33,0)+R18*VLOOKUP($B18,Parámetros!$C:$AL,34,0)+S18*VLOOKUP($B18,Parámetros!$C:$AL,35,0))*VLOOKUP($B18,Parámetros!$C:$AL,36,0)+T18)*(VLOOKUP($B18,Parámetros!$C:$AL,31,0))*(VLOOKUP($B18,Parámetros!$C:$AL,32,0)),Indices!$T$7)*D18,Indices!$U$7)</f>
        <v>7235.92</v>
      </c>
      <c r="V18" s="279">
        <f>+VLOOKUP($B18,Parámetros!$C:$AL,30,0)</f>
        <v>6535.12</v>
      </c>
      <c r="W18" s="293">
        <f t="shared" ref="W18" si="9">+U18/V18-1</f>
        <v>0.10723598036455351</v>
      </c>
    </row>
    <row r="19" spans="2:31" x14ac:dyDescent="0.2">
      <c r="B19" s="38">
        <v>44896</v>
      </c>
      <c r="C19" s="38" t="s">
        <v>129</v>
      </c>
      <c r="D19" s="233">
        <f>+VLOOKUP(DATE(YEAR(B19),MONTH(B19)-2,1),Indices!$B:$F,2,0)</f>
        <v>955.89</v>
      </c>
      <c r="E19" s="228">
        <f>+VLOOKUP(DATE(YEAR(B19),MONTH(B19)-7,1),Indices!$B:$F,4,0)</f>
        <v>247.69300000000001</v>
      </c>
      <c r="F19" s="228">
        <f>+VLOOKUP(DATE(YEAR(B19),MONTH(B19)-7,1),Indices!$B:$F,5,0)</f>
        <v>273.25099999999998</v>
      </c>
      <c r="G19" s="233">
        <f>+VLOOKUP(DATE(YEAR(B19),MONTH(B19)-2,1),Indices!$B:$F,3,0)</f>
        <v>127.41</v>
      </c>
      <c r="H19" s="234" t="s">
        <v>48</v>
      </c>
      <c r="I19" s="233">
        <f>(VLOOKUP(B19,Parámetros!$C:$Q,5,0)*E19/Indices!$P$7+VLOOKUP(B19,Parámetros!$C:$Q,6,0)*F19/Indices!$Q$7+VLOOKUP(B19,Parámetros!$C:$Q,7,0)*G19/Indices!$R$7*Indices!$O$7/D19)*Parámetros!F23</f>
        <v>603.08774052951037</v>
      </c>
      <c r="J19" s="233">
        <f>+(VLOOKUP($B19,Parámetros!$C:$L,9,0)*F19/Indices!$Q$7+VLOOKUP($B19,Parámetros!$C:$L,10,0)*Indices!$O$7/D19*G19/Indices!$R$7)*Parámetros!J23</f>
        <v>87.409331044441288</v>
      </c>
      <c r="K19" s="233">
        <f>+(VLOOKUP(B19,Parámetros!$C:$O,12,0)*F19/Indices!$Q$7+VLOOKUP(B19,Parámetros!$C:$O,13,0)*Indices!$O$7/D19*G19/Indices!$R$7)*Parámetros!M23</f>
        <v>12.577339571409743</v>
      </c>
      <c r="L19" s="233">
        <f>+Parámetros!P23*Indices!$O$7/D19*G19/Indices!$R$7</f>
        <v>1.1064998356207929</v>
      </c>
      <c r="M19" s="290">
        <f>+ROUND(ROUND(((I19*VLOOKUP($B19,Parámetros!$C:$AL,33,0)+J19*VLOOKUP($B19,Parámetros!$C:$AL,34,0)+K19*VLOOKUP($B19,Parámetros!$C:$AL,35,0))*VLOOKUP($B19,Parámetros!$C:$AL,36,0)+L19)*(VLOOKUP($B19,Parámetros!$C:$AL,16,0))*(VLOOKUP($B19,Parámetros!$C:$AL,17,0)),Indices!$T$7)*D19,Indices!$U$7)</f>
        <v>7940</v>
      </c>
      <c r="N19" s="290">
        <f>+VLOOKUP($B19,Parámetros!$C:$AL,15,0)</f>
        <v>7940</v>
      </c>
      <c r="O19" s="291">
        <f t="shared" si="6"/>
        <v>0</v>
      </c>
      <c r="P19" s="292" t="s">
        <v>56</v>
      </c>
      <c r="Q19" s="290">
        <f>(VLOOKUP(B19,Parámetros!$C:$AL,20,0)*E19/Indices!$P$7+VLOOKUP(B19,Parámetros!$C:$AL,21,0)*F19/Indices!$Q$7+VLOOKUP(B19,Parámetros!$C:$AL,22,0)*G19/Indices!$R$7*Indices!$O$7/D19)*Parámetros!U23</f>
        <v>578.93876348389119</v>
      </c>
      <c r="R19" s="290">
        <f>+(VLOOKUP(B19,Parámetros!$C:$AL,24,0)*F19/Indices!$Q$7+VLOOKUP(B19,Parámetros!$C:$AL,25,0)*Indices!$O$7/D19*G19/Indices!$R$7)*Parámetros!Y23</f>
        <v>83.725384275160735</v>
      </c>
      <c r="S19" s="290">
        <f>+(VLOOKUP(B19,Parámetros!$C:$AL,27,0)*F19/Indices!$Q$7+VLOOKUP(B19,Parámetros!$C:$AL,28,0)*Indices!$O$7/D19*G19/Indices!$R$7)*Parámetros!AB23</f>
        <v>8.0648369799851078</v>
      </c>
      <c r="T19" s="290">
        <f>Parámetros!AE23*Indices!$O$7/D19*G19/Indices!$R$7</f>
        <v>0.95256941585060106</v>
      </c>
      <c r="U19" s="290">
        <f>+ROUND(ROUND(((Q19*VLOOKUP($B19,Parámetros!$C:$AL,33,0)+R19*VLOOKUP($B19,Parámetros!$C:$AL,34,0)+S19*VLOOKUP($B19,Parámetros!$C:$AL,35,0))*VLOOKUP($B19,Parámetros!$C:$AL,36,0)+T19)*(VLOOKUP($B19,Parámetros!$C:$AL,31,0))*(VLOOKUP($B19,Parámetros!$C:$AL,32,0)),Indices!$T$7)*D19,Indices!$U$7)</f>
        <v>7465.69</v>
      </c>
      <c r="V19" s="233">
        <f>+VLOOKUP($B19,Parámetros!$C:$AL,30,0)</f>
        <v>7465.69</v>
      </c>
      <c r="W19" s="235">
        <f t="shared" ref="W19" si="10">+U19/V19-1</f>
        <v>0</v>
      </c>
    </row>
    <row r="20" spans="2:31" x14ac:dyDescent="0.2">
      <c r="B20" s="194">
        <v>44927</v>
      </c>
      <c r="C20" s="194" t="s">
        <v>129</v>
      </c>
      <c r="D20" s="227">
        <f>+VLOOKUP(DATE(YEAR(B20),MONTH(B20)-2,1),Indices!$B:$F,2,0)</f>
        <v>917.05</v>
      </c>
      <c r="E20" s="258">
        <f>+VLOOKUP(DATE(YEAR(B20),MONTH(B20)-7,1),Indices!$B:$F,4,0)</f>
        <v>248.535</v>
      </c>
      <c r="F20" s="258">
        <f>+VLOOKUP(DATE(YEAR(B20),MONTH(B20)-7,1),Indices!$B:$F,5,0)</f>
        <v>280.25099999999998</v>
      </c>
      <c r="G20" s="227">
        <f>+VLOOKUP(DATE(YEAR(B20),MONTH(B20)-2,1),Indices!$B:$F,3,0)</f>
        <v>128.65</v>
      </c>
      <c r="H20" s="232" t="s">
        <v>48</v>
      </c>
      <c r="I20" s="227">
        <f>(VLOOKUP(B20,Parámetros!$C:$Q,5,0)*E20/Indices!$P$7+VLOOKUP(B20,Parámetros!$C:$Q,6,0)*F20/Indices!$Q$7+VLOOKUP(B20,Parámetros!$C:$Q,7,0)*G20/Indices!$R$7*Indices!$O$7/D20)*Parámetros!F24</f>
        <v>611.84584885073355</v>
      </c>
      <c r="J20" s="227">
        <f>+(VLOOKUP($B20,Parámetros!$C:$L,9,0)*F20/Indices!$Q$7+VLOOKUP($B20,Parámetros!$C:$L,10,0)*Indices!$O$7/D20*G20/Indices!$R$7)*Parámetros!J24</f>
        <v>90.529419541186158</v>
      </c>
      <c r="K20" s="227">
        <f>+(VLOOKUP(B20,Parámetros!$C:$O,12,0)*F20/Indices!$Q$7+VLOOKUP(B20,Parámetros!$C:$O,13,0)*Indices!$O$7/D20*G20/Indices!$R$7)*Parámetros!M24</f>
        <v>13.170776876621137</v>
      </c>
      <c r="L20" s="227">
        <f>+Parámetros!P24*Indices!$O$7/D20*G20/Indices!$R$7</f>
        <v>1.1645885922600843</v>
      </c>
      <c r="M20" s="294">
        <f>+ROUND(ROUND(((I20*VLOOKUP($B20,Parámetros!$C:$AL,33,0)+J20*VLOOKUP($B20,Parámetros!$C:$AL,34,0)+K20*VLOOKUP($B20,Parámetros!$C:$AL,35,0))*VLOOKUP($B20,Parámetros!$C:$AL,36,0)+L20)*(VLOOKUP($B20,Parámetros!$C:$AL,16,0))*(VLOOKUP($B20,Parámetros!$C:$AL,17,0)),Indices!$T$7)*D20,Indices!$U$7)</f>
        <v>7790.16</v>
      </c>
      <c r="N20" s="294">
        <f>+VLOOKUP($B20,Parámetros!$C:$AL,15,0)</f>
        <v>7940</v>
      </c>
      <c r="O20" s="303">
        <f>+M20/N20-1</f>
        <v>-1.8871536523929477E-2</v>
      </c>
      <c r="P20" s="295" t="s">
        <v>56</v>
      </c>
      <c r="Q20" s="294">
        <f>(VLOOKUP(B20,Parámetros!$C:$AL,20,0)*E20/Indices!$P$7+VLOOKUP(B20,Parámetros!$C:$AL,21,0)*F20/Indices!$Q$7+VLOOKUP(B20,Parámetros!$C:$AL,22,0)*G20/Indices!$R$7*Indices!$O$7/D20)*Parámetros!U24</f>
        <v>587.24314470078127</v>
      </c>
      <c r="R20" s="294">
        <f>+(VLOOKUP(B20,Parámetros!$C:$AL,24,0)*F20/Indices!$Q$7+VLOOKUP(B20,Parámetros!$C:$AL,25,0)*Indices!$O$7/D20*G20/Indices!$R$7)*Parámetros!Y24</f>
        <v>86.520863140991509</v>
      </c>
      <c r="S20" s="294">
        <f>+(VLOOKUP(B20,Parámetros!$C:$AL,27,0)*F20/Indices!$Q$7+VLOOKUP(B20,Parámetros!$C:$AL,28,0)*Indices!$O$7/D20*G20/Indices!$R$7)*Parámetros!AB24</f>
        <v>8.4532957100738297</v>
      </c>
      <c r="T20" s="294">
        <f>Parámetros!AE24*Indices!$O$7/D20*G20/Indices!$R$7</f>
        <v>1.0025771711145981</v>
      </c>
      <c r="U20" s="294">
        <f>+ROUND(ROUND(((Q20*VLOOKUP($B20,Parámetros!$C:$AL,33,0)+R20*VLOOKUP($B20,Parámetros!$C:$AL,34,0)+S20*VLOOKUP($B20,Parámetros!$C:$AL,35,0))*VLOOKUP($B20,Parámetros!$C:$AL,36,0)+T20)*(VLOOKUP($B20,Parámetros!$C:$AL,31,0))*(VLOOKUP($B20,Parámetros!$C:$AL,32,0)),Indices!$T$7)*D20,Indices!$U$7)</f>
        <v>7318.06</v>
      </c>
      <c r="V20" s="227">
        <f>+VLOOKUP($B20,Parámetros!$C:$AL,30,0)</f>
        <v>7465.69</v>
      </c>
      <c r="W20" s="230">
        <f t="shared" ref="W20:W21" si="11">+U20/V20-1</f>
        <v>-1.9774461570196356E-2</v>
      </c>
      <c r="AA20" s="211"/>
      <c r="AB20" s="211"/>
      <c r="AC20" s="211"/>
      <c r="AD20" s="211"/>
      <c r="AE20" s="211"/>
    </row>
    <row r="21" spans="2:31" x14ac:dyDescent="0.2">
      <c r="B21" s="38">
        <v>44958</v>
      </c>
      <c r="C21" s="38" t="s">
        <v>129</v>
      </c>
      <c r="D21" s="233">
        <f>+VLOOKUP(DATE(YEAR(B21),MONTH(B21)-2,1),Indices!$B:$F,2,0)</f>
        <v>875.66</v>
      </c>
      <c r="E21" s="228">
        <f>+VLOOKUP(DATE(YEAR(B21),MONTH(B21)-7,1),Indices!$B:$F,4,0)</f>
        <v>248.31200000000001</v>
      </c>
      <c r="F21" s="228">
        <f>+VLOOKUP(DATE(YEAR(B21),MONTH(B21)-7,1),Indices!$B:$F,5,0)</f>
        <v>272.274</v>
      </c>
      <c r="G21" s="233">
        <f>+VLOOKUP(DATE(YEAR(B21),MONTH(B21)-2,1),Indices!$B:$F,3,0)</f>
        <v>129.02000000000001</v>
      </c>
      <c r="H21" s="234" t="s">
        <v>48</v>
      </c>
      <c r="I21" s="233">
        <f>(VLOOKUP(B21,Parámetros!$C:$Q,5,0)*E21/Indices!$P$7+VLOOKUP(B21,Parámetros!$C:$Q,6,0)*F21/Indices!$Q$7+VLOOKUP(B21,Parámetros!$C:$Q,7,0)*G21/Indices!$R$7*Indices!$O$7/D21)*Parámetros!F25</f>
        <v>616.32883616416711</v>
      </c>
      <c r="J21" s="233">
        <f>+(VLOOKUP($B21,Parámetros!$C:$L,9,0)*F21/Indices!$Q$7+VLOOKUP($B21,Parámetros!$C:$L,10,0)*Indices!$O$7/D21*G21/Indices!$R$7)*Parámetros!J25</f>
        <v>90.668530343092144</v>
      </c>
      <c r="K21" s="233">
        <f>+(VLOOKUP(B21,Parámetros!$C:$O,12,0)*F21/Indices!$Q$7+VLOOKUP(B21,Parámetros!$C:$O,13,0)*Indices!$O$7/D21*G21/Indices!$R$7)*Parámetros!M25</f>
        <v>13.632161580676772</v>
      </c>
      <c r="L21" s="233">
        <f>+Parámetros!P25*Indices!$O$7/D21*G21/Indices!$R$7</f>
        <v>1.2231431351911335</v>
      </c>
      <c r="M21" s="290">
        <f>+ROUND(ROUND(((I21*VLOOKUP($B21,Parámetros!$C:$AL,33,0)+J21*VLOOKUP($B21,Parámetros!$C:$AL,34,0)+K21*VLOOKUP($B21,Parámetros!$C:$AL,35,0))*VLOOKUP($B21,Parámetros!$C:$AL,36,0)+L21)*(VLOOKUP($B21,Parámetros!$C:$AL,16,0))*(VLOOKUP($B21,Parámetros!$C:$AL,17,0)),Indices!$T$7)*D21,Indices!$U$7)</f>
        <v>7540.13</v>
      </c>
      <c r="N21" s="290">
        <f>+VLOOKUP($B21,Parámetros!$C:$AL,15,0)</f>
        <v>7940</v>
      </c>
      <c r="O21" s="291">
        <f t="shared" ref="O21" si="12">+M21/N21-1</f>
        <v>-5.0361460957178861E-2</v>
      </c>
      <c r="P21" s="292" t="s">
        <v>56</v>
      </c>
      <c r="Q21" s="290">
        <f>(VLOOKUP(B21,Parámetros!$C:$AL,20,0)*E21/Indices!$P$7+VLOOKUP(B21,Parámetros!$C:$AL,21,0)*F21/Indices!$Q$7+VLOOKUP(B21,Parámetros!$C:$AL,22,0)*G21/Indices!$R$7*Indices!$O$7/D21)*Parámetros!U25</f>
        <v>591.42349136261544</v>
      </c>
      <c r="R21" s="290">
        <f>+(VLOOKUP(B21,Parámetros!$C:$AL,24,0)*F21/Indices!$Q$7+VLOOKUP(B21,Parámetros!$C:$AL,25,0)*Indices!$O$7/D21*G21/Indices!$R$7)*Parámetros!Y25</f>
        <v>86.064212709614949</v>
      </c>
      <c r="S21" s="290">
        <f>+(VLOOKUP(B21,Parámetros!$C:$AL,27,0)*F21/Indices!$Q$7+VLOOKUP(B21,Parámetros!$C:$AL,28,0)*Indices!$O$7/D21*G21/Indices!$R$7)*Parámetros!AB25</f>
        <v>8.7733840690660205</v>
      </c>
      <c r="T21" s="290">
        <f>Parámetros!AE25*Indices!$O$7/D21*G21/Indices!$R$7</f>
        <v>1.0529859149387084</v>
      </c>
      <c r="U21" s="290">
        <f>+ROUND(ROUND(((Q21*VLOOKUP($B21,Parámetros!$C:$AL,33,0)+R21*VLOOKUP($B21,Parámetros!$C:$AL,34,0)+S21*VLOOKUP($B21,Parámetros!$C:$AL,35,0))*VLOOKUP($B21,Parámetros!$C:$AL,36,0)+T21)*(VLOOKUP($B21,Parámetros!$C:$AL,31,0))*(VLOOKUP($B21,Parámetros!$C:$AL,32,0)),Indices!$T$7)*D21,Indices!$U$7)</f>
        <v>7072.62</v>
      </c>
      <c r="V21" s="233">
        <f>+VLOOKUP($B21,Parámetros!$C:$AL,30,0)</f>
        <v>7465.69</v>
      </c>
      <c r="W21" s="235">
        <f t="shared" si="11"/>
        <v>-5.2650190404369801E-2</v>
      </c>
    </row>
    <row r="22" spans="2:31" ht="13.5" thickBot="1" x14ac:dyDescent="0.25">
      <c r="B22" s="237">
        <v>44986</v>
      </c>
      <c r="C22" s="237" t="s">
        <v>129</v>
      </c>
      <c r="D22" s="346">
        <f>+VLOOKUP(DATE(YEAR(B22),MONTH(B22)-2,1),Indices!$B:$F,2,0)</f>
        <v>826.34</v>
      </c>
      <c r="E22" s="347">
        <f>+VLOOKUP(DATE(YEAR(B22),MONTH(B22)-7,1),Indices!$B:$F,4,0)</f>
        <v>246.82900000000001</v>
      </c>
      <c r="F22" s="347">
        <f>+VLOOKUP(DATE(YEAR(B22),MONTH(B22)-7,1),Indices!$B:$F,5,0)</f>
        <v>269.54599999999999</v>
      </c>
      <c r="G22" s="346">
        <f>+VLOOKUP(DATE(YEAR(B22),MONTH(B22)-2,1),Indices!$B:$F,3,0)</f>
        <v>130.05000000000001</v>
      </c>
      <c r="H22" s="348" t="s">
        <v>48</v>
      </c>
      <c r="I22" s="346">
        <f>(VLOOKUP(B22,Parámetros!$C:$Q,5,0)*E22/Indices!$P$7+VLOOKUP(B22,Parámetros!$C:$Q,6,0)*F22/Indices!$Q$7+VLOOKUP(B22,Parámetros!$C:$Q,7,0)*G22/Indices!$R$7*Indices!$O$7/D22)*Parámetros!F26</f>
        <v>622.02453520742483</v>
      </c>
      <c r="J22" s="346">
        <f>+(VLOOKUP($B22,Parámetros!$C:$L,9,0)*F22/Indices!$Q$7+VLOOKUP($B22,Parámetros!$C:$L,10,0)*Indices!$O$7/D22*G22/Indices!$R$7)*Parámetros!J26</f>
        <v>92.591592496580986</v>
      </c>
      <c r="K22" s="346">
        <f>+(VLOOKUP(B22,Parámetros!$C:$O,12,0)*F22/Indices!$Q$7+VLOOKUP(B22,Parámetros!$C:$O,13,0)*Indices!$O$7/D22*G22/Indices!$R$7)*Parámetros!M26</f>
        <v>14.367440094818486</v>
      </c>
      <c r="L22" s="346">
        <f>+Parámetros!P26*Indices!$O$7/D22*G22/Indices!$R$7</f>
        <v>1.3064937516001256</v>
      </c>
      <c r="M22" s="349">
        <f>+ROUND(ROUND(((I22*VLOOKUP($B22,Parámetros!$C:$AL,33,0)+J22*VLOOKUP($B22,Parámetros!$C:$AL,34,0)+K22*VLOOKUP($B22,Parámetros!$C:$AL,35,0))*VLOOKUP($B22,Parámetros!$C:$AL,36,0)+L22)*(VLOOKUP($B22,Parámetros!$C:$AL,16,0))*(VLOOKUP($B22,Parámetros!$C:$AL,17,0)),Indices!$T$7)*D22,Indices!$U$7)</f>
        <v>7260.14</v>
      </c>
      <c r="N22" s="349">
        <f>+VLOOKUP($B22,Parámetros!$C:$AL,15,0)</f>
        <v>7940</v>
      </c>
      <c r="O22" s="350">
        <f>+M22/N22-1</f>
        <v>-8.5624685138539047E-2</v>
      </c>
      <c r="P22" s="351" t="s">
        <v>56</v>
      </c>
      <c r="Q22" s="349">
        <f>(VLOOKUP(B22,Parámetros!$C:$AL,20,0)*E22/Indices!$P$7+VLOOKUP(B22,Parámetros!$C:$AL,21,0)*F22/Indices!$Q$7+VLOOKUP(B22,Parámetros!$C:$AL,22,0)*G22/Indices!$R$7*Indices!$O$7/D22)*Parámetros!U26</f>
        <v>596.7125837920147</v>
      </c>
      <c r="R22" s="349">
        <f>+(VLOOKUP(B22,Parámetros!$C:$AL,24,0)*F22/Indices!$Q$7+VLOOKUP(B22,Parámetros!$C:$AL,25,0)*Indices!$O$7/D22*G22/Indices!$R$7)*Parámetros!Y26</f>
        <v>87.293338065548937</v>
      </c>
      <c r="S22" s="349">
        <f>+(VLOOKUP(B22,Parámetros!$C:$AL,27,0)*F22/Indices!$Q$7+VLOOKUP(B22,Parámetros!$C:$AL,28,0)*Indices!$O$7/D22*G22/Indices!$R$7)*Parámetros!AB26</f>
        <v>9.2700431645128116</v>
      </c>
      <c r="T22" s="349">
        <f>Parámetros!AE26*Indices!$O$7/D22*G22/Indices!$R$7</f>
        <v>1.124741233310677</v>
      </c>
      <c r="U22" s="349">
        <f>+ROUND(ROUND(((Q22*VLOOKUP($B22,Parámetros!$C:$AL,33,0)+R22*VLOOKUP($B22,Parámetros!$C:$AL,34,0)+S22*VLOOKUP($B22,Parámetros!$C:$AL,35,0))*VLOOKUP($B22,Parámetros!$C:$AL,36,0)+T22)*(VLOOKUP($B22,Parámetros!$C:$AL,31,0))*(VLOOKUP($B22,Parámetros!$C:$AL,32,0)),Indices!$T$7)*D22,Indices!$U$7)</f>
        <v>6797.72</v>
      </c>
      <c r="V22" s="346">
        <f>+VLOOKUP($B22,Parámetros!$C:$AL,30,0)</f>
        <v>7465.69</v>
      </c>
      <c r="W22" s="352">
        <f t="shared" ref="W22" si="13">+U22/V22-1</f>
        <v>-8.9471971110506754E-2</v>
      </c>
    </row>
    <row r="30" spans="2:31" ht="12" customHeight="1" x14ac:dyDescent="0.2"/>
  </sheetData>
  <mergeCells count="17">
    <mergeCell ref="H3:H4"/>
    <mergeCell ref="P3:P4"/>
    <mergeCell ref="P2:W2"/>
    <mergeCell ref="AA1:AN1"/>
    <mergeCell ref="W3:W4"/>
    <mergeCell ref="B3:B4"/>
    <mergeCell ref="Q3:T3"/>
    <mergeCell ref="U3:U4"/>
    <mergeCell ref="Q1:T1"/>
    <mergeCell ref="V3:V4"/>
    <mergeCell ref="D3:G3"/>
    <mergeCell ref="M3:M4"/>
    <mergeCell ref="N3:N4"/>
    <mergeCell ref="O3:O4"/>
    <mergeCell ref="I3:L3"/>
    <mergeCell ref="C3:C4"/>
    <mergeCell ref="H2:O2"/>
  </mergeCells>
  <phoneticPr fontId="28" type="noConversion"/>
  <pageMargins left="0.75" right="0.75" top="1" bottom="1" header="0" footer="0"/>
  <pageSetup paperSize="17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44F9C-21C7-41AA-8E1B-04069A4B5F80}">
  <dimension ref="B2:B27"/>
  <sheetViews>
    <sheetView workbookViewId="0">
      <selection activeCell="E38" sqref="E38"/>
    </sheetView>
  </sheetViews>
  <sheetFormatPr baseColWidth="10" defaultColWidth="11.42578125" defaultRowHeight="12.75" x14ac:dyDescent="0.2"/>
  <cols>
    <col min="1" max="16384" width="11.42578125" style="210"/>
  </cols>
  <sheetData>
    <row r="2" spans="2:2" x14ac:dyDescent="0.2">
      <c r="B2" s="217" t="s">
        <v>106</v>
      </c>
    </row>
    <row r="12" spans="2:2" x14ac:dyDescent="0.2">
      <c r="B12" s="217" t="s">
        <v>105</v>
      </c>
    </row>
    <row r="19" spans="2:2" x14ac:dyDescent="0.2">
      <c r="B19" s="217" t="s">
        <v>104</v>
      </c>
    </row>
    <row r="27" spans="2:2" x14ac:dyDescent="0.2">
      <c r="B27" s="217" t="s">
        <v>103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W129"/>
  <sheetViews>
    <sheetView showGridLines="0" topLeftCell="F1" zoomScale="85" zoomScaleNormal="85" workbookViewId="0">
      <pane ySplit="4" topLeftCell="A105" activePane="bottomLeft" state="frozen"/>
      <selection pane="bottomLeft" activeCell="L139" sqref="L139"/>
    </sheetView>
  </sheetViews>
  <sheetFormatPr baseColWidth="10" defaultColWidth="12.7109375" defaultRowHeight="12.75" x14ac:dyDescent="0.2"/>
  <cols>
    <col min="1" max="1" width="3.85546875" customWidth="1"/>
    <col min="2" max="2" width="9.42578125" style="1" bestFit="1" customWidth="1"/>
    <col min="3" max="3" width="26.7109375" style="1" customWidth="1"/>
    <col min="4" max="4" width="17.140625" style="1" customWidth="1"/>
    <col min="5" max="5" width="8.42578125" style="1" customWidth="1"/>
    <col min="6" max="6" width="15.7109375" style="1" customWidth="1"/>
    <col min="7" max="7" width="11.42578125" style="1" customWidth="1"/>
    <col min="8" max="8" width="10" style="1" customWidth="1"/>
    <col min="9" max="9" width="4.85546875" style="1" customWidth="1"/>
    <col min="10" max="10" width="11.42578125" style="1" customWidth="1"/>
    <col min="11" max="11" width="46.7109375" style="1" bestFit="1" customWidth="1"/>
    <col min="12" max="12" width="17.140625" style="1" customWidth="1"/>
    <col min="13" max="13" width="8.42578125" style="1" customWidth="1"/>
    <col min="14" max="14" width="15.7109375" customWidth="1"/>
    <col min="15" max="15" width="14" customWidth="1"/>
    <col min="16" max="16" width="10" customWidth="1"/>
    <col min="17" max="17" width="17.140625" customWidth="1"/>
    <col min="18" max="18" width="8.42578125" customWidth="1"/>
    <col min="19" max="19" width="15.7109375" customWidth="1"/>
    <col min="20" max="20" width="11.28515625" customWidth="1"/>
    <col min="21" max="21" width="10" customWidth="1"/>
    <col min="23" max="23" width="66.140625" customWidth="1"/>
  </cols>
  <sheetData>
    <row r="1" spans="2:23" x14ac:dyDescent="0.2">
      <c r="W1" s="244" t="s">
        <v>65</v>
      </c>
    </row>
    <row r="2" spans="2:23" ht="13.5" thickBot="1" x14ac:dyDescent="0.25">
      <c r="W2" s="245" t="s">
        <v>66</v>
      </c>
    </row>
    <row r="3" spans="2:23" ht="13.5" thickBot="1" x14ac:dyDescent="0.25">
      <c r="D3" s="20" t="s">
        <v>12</v>
      </c>
      <c r="E3" s="21"/>
      <c r="F3" s="21"/>
      <c r="G3" s="21"/>
      <c r="H3" s="22"/>
      <c r="L3" s="20" t="s">
        <v>67</v>
      </c>
      <c r="M3" s="21"/>
      <c r="N3" s="25"/>
      <c r="O3" s="25"/>
      <c r="P3" s="29"/>
      <c r="Q3" s="28" t="s">
        <v>68</v>
      </c>
      <c r="R3" s="21"/>
      <c r="S3" s="21"/>
      <c r="T3" s="21"/>
      <c r="U3" s="22"/>
      <c r="W3" s="246" t="s">
        <v>118</v>
      </c>
    </row>
    <row r="4" spans="2:23" ht="39" thickBot="1" x14ac:dyDescent="0.25">
      <c r="B4" s="12" t="s">
        <v>22</v>
      </c>
      <c r="C4" s="12" t="s">
        <v>24</v>
      </c>
      <c r="D4" s="12" t="s">
        <v>10</v>
      </c>
      <c r="E4" s="69" t="s">
        <v>28</v>
      </c>
      <c r="F4" s="69" t="s">
        <v>29</v>
      </c>
      <c r="G4" s="82" t="s">
        <v>30</v>
      </c>
      <c r="H4" s="12" t="s">
        <v>16</v>
      </c>
      <c r="I4" s="70"/>
      <c r="J4" s="12" t="s">
        <v>22</v>
      </c>
      <c r="K4" s="32" t="s">
        <v>24</v>
      </c>
      <c r="L4" s="12" t="s">
        <v>10</v>
      </c>
      <c r="M4" s="69" t="s">
        <v>28</v>
      </c>
      <c r="N4" s="69" t="s">
        <v>29</v>
      </c>
      <c r="O4" s="82" t="s">
        <v>30</v>
      </c>
      <c r="P4" s="26" t="s">
        <v>16</v>
      </c>
      <c r="Q4" s="30" t="s">
        <v>10</v>
      </c>
      <c r="R4" s="69" t="s">
        <v>28</v>
      </c>
      <c r="S4" s="69" t="s">
        <v>29</v>
      </c>
      <c r="T4" s="82" t="s">
        <v>30</v>
      </c>
      <c r="U4" s="12" t="s">
        <v>16</v>
      </c>
    </row>
    <row r="5" spans="2:23" x14ac:dyDescent="0.2">
      <c r="B5" s="56">
        <v>41214</v>
      </c>
      <c r="C5" s="56" t="s">
        <v>25</v>
      </c>
      <c r="D5" s="56" t="s">
        <v>13</v>
      </c>
      <c r="E5" s="71">
        <v>220</v>
      </c>
      <c r="F5" s="48">
        <v>4292.78</v>
      </c>
      <c r="G5" s="48">
        <v>4321.46</v>
      </c>
      <c r="H5" s="83">
        <v>6.6810000000000003E-3</v>
      </c>
      <c r="J5" s="56">
        <v>41214</v>
      </c>
      <c r="K5" s="47" t="s">
        <v>25</v>
      </c>
      <c r="L5" s="56" t="s">
        <v>14</v>
      </c>
      <c r="M5" s="76">
        <v>220</v>
      </c>
      <c r="N5" s="48">
        <v>4936.6499999999996</v>
      </c>
      <c r="O5" s="48">
        <v>4959.95</v>
      </c>
      <c r="P5" s="59">
        <v>4.7200000000000002E-3</v>
      </c>
      <c r="Q5" s="50" t="s">
        <v>15</v>
      </c>
      <c r="R5" s="76">
        <v>220</v>
      </c>
      <c r="S5" s="49">
        <v>4172.1400000000003</v>
      </c>
      <c r="T5" s="48">
        <v>4197.9399999999996</v>
      </c>
      <c r="U5" s="83">
        <v>6.1840000000000003E-3</v>
      </c>
    </row>
    <row r="6" spans="2:23" x14ac:dyDescent="0.2">
      <c r="B6" s="38">
        <f t="shared" ref="B6:B47" si="0">+DATE(YEAR(B5),MONTH(B5)+1,1)</f>
        <v>41244</v>
      </c>
      <c r="C6" s="38" t="s">
        <v>25</v>
      </c>
      <c r="D6" s="38" t="s">
        <v>13</v>
      </c>
      <c r="E6" s="72">
        <v>220</v>
      </c>
      <c r="F6" s="35">
        <v>4292.78</v>
      </c>
      <c r="G6" s="35">
        <v>4372.51</v>
      </c>
      <c r="H6" s="84">
        <v>1.8572999999999999E-2</v>
      </c>
      <c r="J6" s="38">
        <f t="shared" ref="J6:J47" si="1">+DATE(YEAR(J5),MONTH(J5)+1,1)</f>
        <v>41244</v>
      </c>
      <c r="K6" s="34" t="s">
        <v>25</v>
      </c>
      <c r="L6" s="38" t="s">
        <v>14</v>
      </c>
      <c r="M6" s="77">
        <v>220</v>
      </c>
      <c r="N6" s="35">
        <v>4936.6499999999996</v>
      </c>
      <c r="O6" s="35">
        <v>5009.3900000000003</v>
      </c>
      <c r="P6" s="42">
        <v>1.4735E-2</v>
      </c>
      <c r="Q6" s="37" t="s">
        <v>15</v>
      </c>
      <c r="R6" s="77">
        <v>220</v>
      </c>
      <c r="S6" s="36">
        <v>4172.1400000000003</v>
      </c>
      <c r="T6" s="35">
        <v>4245.3500000000004</v>
      </c>
      <c r="U6" s="84">
        <v>1.7547E-2</v>
      </c>
    </row>
    <row r="7" spans="2:23" x14ac:dyDescent="0.2">
      <c r="B7" s="2">
        <f t="shared" si="0"/>
        <v>41275</v>
      </c>
      <c r="C7" s="2" t="s">
        <v>25</v>
      </c>
      <c r="D7" s="2" t="s">
        <v>13</v>
      </c>
      <c r="E7" s="73">
        <v>220</v>
      </c>
      <c r="F7" s="23">
        <v>4292.78</v>
      </c>
      <c r="G7" s="23">
        <v>4349.1000000000004</v>
      </c>
      <c r="H7" s="85">
        <v>1.312E-2</v>
      </c>
      <c r="J7" s="2">
        <f t="shared" si="1"/>
        <v>41275</v>
      </c>
      <c r="K7" s="33" t="s">
        <v>25</v>
      </c>
      <c r="L7" s="2" t="s">
        <v>14</v>
      </c>
      <c r="M7" s="78">
        <v>220</v>
      </c>
      <c r="N7" s="23">
        <v>4936.6499999999996</v>
      </c>
      <c r="O7" s="23">
        <v>4982.5600000000004</v>
      </c>
      <c r="P7" s="27">
        <v>9.2999999999999992E-3</v>
      </c>
      <c r="Q7" s="31" t="s">
        <v>15</v>
      </c>
      <c r="R7" s="78">
        <v>220</v>
      </c>
      <c r="S7" s="24">
        <v>4172.1400000000003</v>
      </c>
      <c r="T7" s="23">
        <v>4222.63</v>
      </c>
      <c r="U7" s="85">
        <v>1.2102E-2</v>
      </c>
    </row>
    <row r="8" spans="2:23" x14ac:dyDescent="0.2">
      <c r="B8" s="38">
        <f t="shared" si="0"/>
        <v>41306</v>
      </c>
      <c r="C8" s="38" t="s">
        <v>25</v>
      </c>
      <c r="D8" s="38" t="s">
        <v>13</v>
      </c>
      <c r="E8" s="72">
        <v>220</v>
      </c>
      <c r="F8" s="35">
        <v>4292.78</v>
      </c>
      <c r="G8" s="35">
        <v>4324.1899999999996</v>
      </c>
      <c r="H8" s="84">
        <v>7.3169999999999997E-3</v>
      </c>
      <c r="J8" s="38">
        <f t="shared" si="1"/>
        <v>41306</v>
      </c>
      <c r="K8" s="34" t="s">
        <v>25</v>
      </c>
      <c r="L8" s="38" t="s">
        <v>14</v>
      </c>
      <c r="M8" s="77">
        <v>220</v>
      </c>
      <c r="N8" s="35">
        <v>4936.6499999999996</v>
      </c>
      <c r="O8" s="35">
        <v>4961.57</v>
      </c>
      <c r="P8" s="42">
        <v>5.0480000000000004E-3</v>
      </c>
      <c r="Q8" s="37" t="s">
        <v>15</v>
      </c>
      <c r="R8" s="77">
        <v>220</v>
      </c>
      <c r="S8" s="36">
        <v>4172.1400000000003</v>
      </c>
      <c r="T8" s="35">
        <v>4200.3100000000004</v>
      </c>
      <c r="U8" s="84">
        <v>6.7520000000000002E-3</v>
      </c>
    </row>
    <row r="9" spans="2:23" x14ac:dyDescent="0.2">
      <c r="B9" s="2">
        <f t="shared" si="0"/>
        <v>41334</v>
      </c>
      <c r="C9" s="2" t="s">
        <v>25</v>
      </c>
      <c r="D9" s="2" t="s">
        <v>13</v>
      </c>
      <c r="E9" s="73">
        <v>220</v>
      </c>
      <c r="F9" s="23">
        <v>4292.78</v>
      </c>
      <c r="G9" s="23">
        <v>4319</v>
      </c>
      <c r="H9" s="85">
        <v>6.1079999999999997E-3</v>
      </c>
      <c r="J9" s="2">
        <f t="shared" si="1"/>
        <v>41334</v>
      </c>
      <c r="K9" s="33" t="s">
        <v>25</v>
      </c>
      <c r="L9" s="2" t="s">
        <v>14</v>
      </c>
      <c r="M9" s="78">
        <v>220</v>
      </c>
      <c r="N9" s="23">
        <v>4936.6499999999996</v>
      </c>
      <c r="O9" s="23">
        <v>4962.3</v>
      </c>
      <c r="P9" s="27">
        <v>5.1960000000000001E-3</v>
      </c>
      <c r="Q9" s="31" t="s">
        <v>15</v>
      </c>
      <c r="R9" s="78">
        <v>220</v>
      </c>
      <c r="S9" s="24">
        <v>4172.1400000000003</v>
      </c>
      <c r="T9" s="23">
        <v>4196.88</v>
      </c>
      <c r="U9" s="85">
        <v>5.9300000000000004E-3</v>
      </c>
    </row>
    <row r="10" spans="2:23" ht="13.5" thickBot="1" x14ac:dyDescent="0.25">
      <c r="B10" s="57">
        <f t="shared" si="0"/>
        <v>41365</v>
      </c>
      <c r="C10" s="57" t="s">
        <v>25</v>
      </c>
      <c r="D10" s="57" t="s">
        <v>13</v>
      </c>
      <c r="E10" s="74">
        <v>220</v>
      </c>
      <c r="F10" s="52">
        <v>4292.78</v>
      </c>
      <c r="G10" s="52">
        <v>4335.34</v>
      </c>
      <c r="H10" s="86">
        <v>9.9139999999999992E-3</v>
      </c>
      <c r="J10" s="57">
        <f t="shared" si="1"/>
        <v>41365</v>
      </c>
      <c r="K10" s="51" t="s">
        <v>25</v>
      </c>
      <c r="L10" s="57" t="s">
        <v>14</v>
      </c>
      <c r="M10" s="79">
        <v>220</v>
      </c>
      <c r="N10" s="52">
        <v>4936.6499999999996</v>
      </c>
      <c r="O10" s="52">
        <v>4975.05</v>
      </c>
      <c r="P10" s="60">
        <v>7.7790000000000003E-3</v>
      </c>
      <c r="Q10" s="54" t="s">
        <v>15</v>
      </c>
      <c r="R10" s="79">
        <v>220</v>
      </c>
      <c r="S10" s="53">
        <v>4172.1400000000003</v>
      </c>
      <c r="T10" s="52">
        <v>4211.26</v>
      </c>
      <c r="U10" s="86">
        <v>9.3760000000000007E-3</v>
      </c>
    </row>
    <row r="11" spans="2:23" x14ac:dyDescent="0.2">
      <c r="B11" s="56">
        <f t="shared" si="0"/>
        <v>41395</v>
      </c>
      <c r="C11" s="56" t="s">
        <v>26</v>
      </c>
      <c r="D11" s="56" t="s">
        <v>13</v>
      </c>
      <c r="E11" s="71">
        <v>220</v>
      </c>
      <c r="F11" s="61">
        <v>4337.5600000000004</v>
      </c>
      <c r="G11" s="61">
        <v>4348.13</v>
      </c>
      <c r="H11" s="87">
        <v>2.4369999999999999E-3</v>
      </c>
      <c r="J11" s="56">
        <f t="shared" si="1"/>
        <v>41395</v>
      </c>
      <c r="K11" s="47" t="s">
        <v>26</v>
      </c>
      <c r="L11" s="56" t="s">
        <v>14</v>
      </c>
      <c r="M11" s="76">
        <v>220</v>
      </c>
      <c r="N11" s="61">
        <v>4977.29</v>
      </c>
      <c r="O11" s="61">
        <v>4982.07</v>
      </c>
      <c r="P11" s="63">
        <v>9.6000000000000002E-4</v>
      </c>
      <c r="Q11" s="50" t="s">
        <v>15</v>
      </c>
      <c r="R11" s="76">
        <v>220</v>
      </c>
      <c r="S11" s="62">
        <v>4213.3900000000003</v>
      </c>
      <c r="T11" s="61">
        <v>4222.12</v>
      </c>
      <c r="U11" s="87">
        <v>2.0720000000000001E-3</v>
      </c>
    </row>
    <row r="12" spans="2:23" x14ac:dyDescent="0.2">
      <c r="B12" s="38">
        <f t="shared" si="0"/>
        <v>41426</v>
      </c>
      <c r="C12" s="38" t="s">
        <v>26</v>
      </c>
      <c r="D12" s="38" t="s">
        <v>13</v>
      </c>
      <c r="E12" s="72">
        <v>220</v>
      </c>
      <c r="F12" s="35">
        <v>4337.5600000000004</v>
      </c>
      <c r="G12" s="35">
        <v>4372.33</v>
      </c>
      <c r="H12" s="84">
        <v>8.0160000000000006E-3</v>
      </c>
      <c r="J12" s="38">
        <f t="shared" si="1"/>
        <v>41426</v>
      </c>
      <c r="K12" s="34" t="s">
        <v>26</v>
      </c>
      <c r="L12" s="38" t="s">
        <v>14</v>
      </c>
      <c r="M12" s="77">
        <v>220</v>
      </c>
      <c r="N12" s="35">
        <v>4977.29</v>
      </c>
      <c r="O12" s="35">
        <v>5012.91</v>
      </c>
      <c r="P12" s="42">
        <v>7.1570000000000002E-3</v>
      </c>
      <c r="Q12" s="37" t="s">
        <v>15</v>
      </c>
      <c r="R12" s="77">
        <v>220</v>
      </c>
      <c r="S12" s="36">
        <v>4213.3900000000003</v>
      </c>
      <c r="T12" s="35">
        <v>4245.8500000000004</v>
      </c>
      <c r="U12" s="84">
        <v>7.7039999999999999E-3</v>
      </c>
    </row>
    <row r="13" spans="2:23" x14ac:dyDescent="0.2">
      <c r="B13" s="2">
        <f t="shared" si="0"/>
        <v>41456</v>
      </c>
      <c r="C13" s="2" t="s">
        <v>26</v>
      </c>
      <c r="D13" s="2" t="s">
        <v>13</v>
      </c>
      <c r="E13" s="73">
        <v>220</v>
      </c>
      <c r="F13" s="23">
        <v>4337.5600000000004</v>
      </c>
      <c r="G13" s="23">
        <v>4485.68</v>
      </c>
      <c r="H13" s="85">
        <v>3.4147999999999998E-2</v>
      </c>
      <c r="J13" s="2">
        <f t="shared" si="1"/>
        <v>41456</v>
      </c>
      <c r="K13" s="33" t="s">
        <v>26</v>
      </c>
      <c r="L13" s="2" t="s">
        <v>14</v>
      </c>
      <c r="M13" s="78">
        <v>220</v>
      </c>
      <c r="N13" s="23">
        <v>4977.29</v>
      </c>
      <c r="O13" s="23">
        <v>5155.1400000000003</v>
      </c>
      <c r="P13" s="27">
        <v>3.5732E-2</v>
      </c>
      <c r="Q13" s="31" t="s">
        <v>15</v>
      </c>
      <c r="R13" s="78">
        <v>220</v>
      </c>
      <c r="S13" s="24">
        <v>4213.3900000000003</v>
      </c>
      <c r="T13" s="23">
        <v>4357.3900000000003</v>
      </c>
      <c r="U13" s="85">
        <v>3.4176999999999999E-2</v>
      </c>
    </row>
    <row r="14" spans="2:23" x14ac:dyDescent="0.2">
      <c r="B14" s="38">
        <f t="shared" si="0"/>
        <v>41487</v>
      </c>
      <c r="C14" s="38" t="s">
        <v>26</v>
      </c>
      <c r="D14" s="38" t="s">
        <v>13</v>
      </c>
      <c r="E14" s="72">
        <v>220</v>
      </c>
      <c r="F14" s="35">
        <v>4337.5600000000004</v>
      </c>
      <c r="G14" s="35">
        <v>4509.0600000000004</v>
      </c>
      <c r="H14" s="84">
        <v>3.9537999999999997E-2</v>
      </c>
      <c r="J14" s="38">
        <f t="shared" si="1"/>
        <v>41487</v>
      </c>
      <c r="K14" s="34" t="s">
        <v>26</v>
      </c>
      <c r="L14" s="38" t="s">
        <v>14</v>
      </c>
      <c r="M14" s="77">
        <v>220</v>
      </c>
      <c r="N14" s="35">
        <v>4977.29</v>
      </c>
      <c r="O14" s="35">
        <v>5187.8599999999997</v>
      </c>
      <c r="P14" s="42">
        <v>4.2306000000000003E-2</v>
      </c>
      <c r="Q14" s="37" t="s">
        <v>15</v>
      </c>
      <c r="R14" s="77">
        <v>220</v>
      </c>
      <c r="S14" s="36">
        <v>4213.3900000000003</v>
      </c>
      <c r="T14" s="35">
        <v>4381.42</v>
      </c>
      <c r="U14" s="84">
        <v>3.9879999999999999E-2</v>
      </c>
    </row>
    <row r="15" spans="2:23" x14ac:dyDescent="0.2">
      <c r="B15" s="2">
        <f t="shared" si="0"/>
        <v>41518</v>
      </c>
      <c r="C15" s="2" t="s">
        <v>26</v>
      </c>
      <c r="D15" s="2" t="s">
        <v>13</v>
      </c>
      <c r="E15" s="73">
        <v>220</v>
      </c>
      <c r="F15" s="23">
        <v>4337.5600000000004</v>
      </c>
      <c r="G15" s="23">
        <v>4558.63</v>
      </c>
      <c r="H15" s="85">
        <v>5.0965999999999997E-2</v>
      </c>
      <c r="J15" s="2">
        <f t="shared" si="1"/>
        <v>41518</v>
      </c>
      <c r="K15" s="33" t="s">
        <v>26</v>
      </c>
      <c r="L15" s="2" t="s">
        <v>14</v>
      </c>
      <c r="M15" s="78">
        <v>220</v>
      </c>
      <c r="N15" s="23">
        <v>4977.29</v>
      </c>
      <c r="O15" s="23">
        <v>5244.65</v>
      </c>
      <c r="P15" s="27">
        <v>5.3716E-2</v>
      </c>
      <c r="Q15" s="31" t="s">
        <v>15</v>
      </c>
      <c r="R15" s="78">
        <v>220</v>
      </c>
      <c r="S15" s="24">
        <v>4213.3900000000003</v>
      </c>
      <c r="T15" s="23">
        <v>4429.1499999999996</v>
      </c>
      <c r="U15" s="85">
        <v>5.1207999999999997E-2</v>
      </c>
    </row>
    <row r="16" spans="2:23" ht="13.5" thickBot="1" x14ac:dyDescent="0.25">
      <c r="B16" s="57">
        <f t="shared" si="0"/>
        <v>41548</v>
      </c>
      <c r="C16" s="57" t="s">
        <v>26</v>
      </c>
      <c r="D16" s="57" t="s">
        <v>13</v>
      </c>
      <c r="E16" s="74">
        <v>220</v>
      </c>
      <c r="F16" s="52">
        <v>4337.5600000000004</v>
      </c>
      <c r="G16" s="52">
        <v>4524.12</v>
      </c>
      <c r="H16" s="86">
        <v>4.301E-2</v>
      </c>
      <c r="J16" s="57">
        <f t="shared" si="1"/>
        <v>41548</v>
      </c>
      <c r="K16" s="51" t="s">
        <v>26</v>
      </c>
      <c r="L16" s="57" t="s">
        <v>14</v>
      </c>
      <c r="M16" s="79">
        <v>220</v>
      </c>
      <c r="N16" s="52">
        <v>4977.29</v>
      </c>
      <c r="O16" s="52">
        <v>5199.84</v>
      </c>
      <c r="P16" s="60">
        <v>4.4713000000000003E-2</v>
      </c>
      <c r="Q16" s="54" t="s">
        <v>15</v>
      </c>
      <c r="R16" s="79">
        <v>220</v>
      </c>
      <c r="S16" s="53">
        <v>4213.3900000000003</v>
      </c>
      <c r="T16" s="52">
        <v>4394.96</v>
      </c>
      <c r="U16" s="86">
        <v>4.3094E-2</v>
      </c>
    </row>
    <row r="17" spans="1:22" x14ac:dyDescent="0.2">
      <c r="B17" s="55">
        <f t="shared" si="0"/>
        <v>41579</v>
      </c>
      <c r="C17" s="55" t="s">
        <v>27</v>
      </c>
      <c r="D17" s="55" t="s">
        <v>13</v>
      </c>
      <c r="E17" s="75">
        <v>220</v>
      </c>
      <c r="F17" s="44">
        <v>4513.43</v>
      </c>
      <c r="G17" s="44">
        <v>4513.8500000000004</v>
      </c>
      <c r="H17" s="88">
        <v>9.2999999999999997E-5</v>
      </c>
      <c r="J17" s="55">
        <f t="shared" si="1"/>
        <v>41579</v>
      </c>
      <c r="K17" s="43" t="s">
        <v>27</v>
      </c>
      <c r="L17" s="55" t="s">
        <v>14</v>
      </c>
      <c r="M17" s="80">
        <v>220</v>
      </c>
      <c r="N17" s="44">
        <v>5189.8599999999997</v>
      </c>
      <c r="O17" s="44">
        <v>5188.34</v>
      </c>
      <c r="P17" s="58">
        <v>-2.9300000000000002E-4</v>
      </c>
      <c r="Q17" s="46" t="s">
        <v>15</v>
      </c>
      <c r="R17" s="80">
        <v>220</v>
      </c>
      <c r="S17" s="45">
        <v>4385.22</v>
      </c>
      <c r="T17" s="44">
        <v>4385.38</v>
      </c>
      <c r="U17" s="88">
        <v>3.6000000000000001E-5</v>
      </c>
    </row>
    <row r="18" spans="1:22" x14ac:dyDescent="0.2">
      <c r="B18" s="38">
        <f t="shared" si="0"/>
        <v>41609</v>
      </c>
      <c r="C18" s="38" t="s">
        <v>27</v>
      </c>
      <c r="D18" s="38" t="s">
        <v>13</v>
      </c>
      <c r="E18" s="72">
        <v>220</v>
      </c>
      <c r="F18" s="35">
        <v>4513.43</v>
      </c>
      <c r="G18" s="35">
        <v>4604.83</v>
      </c>
      <c r="H18" s="84">
        <v>2.0251000000000002E-2</v>
      </c>
      <c r="J18" s="38">
        <f t="shared" si="1"/>
        <v>41609</v>
      </c>
      <c r="K18" s="34" t="s">
        <v>27</v>
      </c>
      <c r="L18" s="38" t="s">
        <v>14</v>
      </c>
      <c r="M18" s="77">
        <v>220</v>
      </c>
      <c r="N18" s="35">
        <v>5189.8599999999997</v>
      </c>
      <c r="O18" s="35">
        <v>5300.74</v>
      </c>
      <c r="P18" s="42">
        <v>2.1364999999999999E-2</v>
      </c>
      <c r="Q18" s="37" t="s">
        <v>15</v>
      </c>
      <c r="R18" s="77">
        <v>220</v>
      </c>
      <c r="S18" s="36">
        <v>4385.22</v>
      </c>
      <c r="T18" s="35">
        <v>4474.6499999999996</v>
      </c>
      <c r="U18" s="84">
        <v>2.0393999999999999E-2</v>
      </c>
    </row>
    <row r="19" spans="1:22" x14ac:dyDescent="0.2">
      <c r="B19" s="2">
        <f t="shared" si="0"/>
        <v>41640</v>
      </c>
      <c r="C19" s="2" t="s">
        <v>27</v>
      </c>
      <c r="D19" s="2" t="s">
        <v>13</v>
      </c>
      <c r="E19" s="73">
        <v>220</v>
      </c>
      <c r="F19" s="23">
        <v>4513.43</v>
      </c>
      <c r="G19" s="23">
        <v>4677.84</v>
      </c>
      <c r="H19" s="85">
        <v>3.6427000000000001E-2</v>
      </c>
      <c r="J19" s="2">
        <f t="shared" si="1"/>
        <v>41640</v>
      </c>
      <c r="K19" s="33" t="s">
        <v>27</v>
      </c>
      <c r="L19" s="2" t="s">
        <v>14</v>
      </c>
      <c r="M19" s="78">
        <v>220</v>
      </c>
      <c r="N19" s="23">
        <v>5189.8599999999997</v>
      </c>
      <c r="O19" s="23">
        <v>5384.94</v>
      </c>
      <c r="P19" s="27">
        <v>3.7588999999999997E-2</v>
      </c>
      <c r="Q19" s="31" t="s">
        <v>15</v>
      </c>
      <c r="R19" s="78">
        <v>220</v>
      </c>
      <c r="S19" s="24">
        <v>4385.22</v>
      </c>
      <c r="T19" s="23">
        <v>4545.12</v>
      </c>
      <c r="U19" s="85">
        <v>3.6463000000000002E-2</v>
      </c>
    </row>
    <row r="20" spans="1:22" ht="13.5" thickBot="1" x14ac:dyDescent="0.25">
      <c r="B20" s="38">
        <f t="shared" si="0"/>
        <v>41671</v>
      </c>
      <c r="C20" s="38" t="s">
        <v>27</v>
      </c>
      <c r="D20" s="38" t="s">
        <v>13</v>
      </c>
      <c r="E20" s="72">
        <v>220</v>
      </c>
      <c r="F20" s="35">
        <v>4513.43</v>
      </c>
      <c r="G20" s="35">
        <v>4719.08</v>
      </c>
      <c r="H20" s="84">
        <v>4.5564E-2</v>
      </c>
      <c r="J20" s="64">
        <f t="shared" si="1"/>
        <v>41671</v>
      </c>
      <c r="K20" s="89" t="s">
        <v>27</v>
      </c>
      <c r="L20" s="64" t="s">
        <v>14</v>
      </c>
      <c r="M20" s="81">
        <v>220</v>
      </c>
      <c r="N20" s="66">
        <v>5189.8599999999997</v>
      </c>
      <c r="O20" s="66">
        <v>5434.96</v>
      </c>
      <c r="P20" s="67">
        <v>4.7226999999999998E-2</v>
      </c>
      <c r="Q20" s="65" t="s">
        <v>15</v>
      </c>
      <c r="R20" s="81">
        <v>220</v>
      </c>
      <c r="S20" s="68">
        <v>4385.22</v>
      </c>
      <c r="T20" s="66">
        <v>4585.55</v>
      </c>
      <c r="U20" s="90">
        <v>4.5683000000000001E-2</v>
      </c>
    </row>
    <row r="21" spans="1:22" x14ac:dyDescent="0.2">
      <c r="B21" s="2">
        <f t="shared" si="0"/>
        <v>41699</v>
      </c>
      <c r="C21" s="2" t="s">
        <v>27</v>
      </c>
      <c r="D21" s="2" t="s">
        <v>13</v>
      </c>
      <c r="E21" s="73">
        <v>220</v>
      </c>
      <c r="F21" s="23">
        <v>4513.43</v>
      </c>
      <c r="G21" s="23">
        <v>4820.13</v>
      </c>
      <c r="H21" s="85">
        <v>6.7953E-2</v>
      </c>
      <c r="J21" s="56">
        <f t="shared" si="1"/>
        <v>41699</v>
      </c>
      <c r="K21" s="47" t="s">
        <v>31</v>
      </c>
      <c r="L21" s="56" t="s">
        <v>14</v>
      </c>
      <c r="M21" s="76">
        <v>220</v>
      </c>
      <c r="N21" s="61">
        <v>5553.54</v>
      </c>
      <c r="O21" s="61">
        <v>5553.54</v>
      </c>
      <c r="P21" s="63">
        <v>0</v>
      </c>
      <c r="Q21" s="50" t="s">
        <v>15</v>
      </c>
      <c r="R21" s="76">
        <v>220</v>
      </c>
      <c r="S21" s="62">
        <v>4683.38</v>
      </c>
      <c r="T21" s="61">
        <v>4683.38</v>
      </c>
      <c r="U21" s="87">
        <v>0</v>
      </c>
    </row>
    <row r="22" spans="1:22" ht="13.5" thickBot="1" x14ac:dyDescent="0.25">
      <c r="A22" s="1"/>
      <c r="B22" s="57">
        <f t="shared" si="0"/>
        <v>41730</v>
      </c>
      <c r="C22" s="57" t="s">
        <v>27</v>
      </c>
      <c r="D22" s="57" t="s">
        <v>13</v>
      </c>
      <c r="E22" s="74">
        <v>220</v>
      </c>
      <c r="F22" s="52">
        <v>4513.43</v>
      </c>
      <c r="G22" s="52">
        <v>4874.3900000000003</v>
      </c>
      <c r="H22" s="86">
        <v>7.9975000000000004E-2</v>
      </c>
      <c r="J22" s="57">
        <f t="shared" si="1"/>
        <v>41730</v>
      </c>
      <c r="K22" s="51" t="s">
        <v>31</v>
      </c>
      <c r="L22" s="57" t="s">
        <v>14</v>
      </c>
      <c r="M22" s="79">
        <v>220</v>
      </c>
      <c r="N22" s="52">
        <v>5553.54</v>
      </c>
      <c r="O22" s="52">
        <v>5613.39</v>
      </c>
      <c r="P22" s="60">
        <v>1.0777E-2</v>
      </c>
      <c r="Q22" s="54" t="s">
        <v>15</v>
      </c>
      <c r="R22" s="79">
        <v>220</v>
      </c>
      <c r="S22" s="53">
        <v>4683.38</v>
      </c>
      <c r="T22" s="52">
        <v>4735.2</v>
      </c>
      <c r="U22" s="86">
        <v>1.1065E-2</v>
      </c>
    </row>
    <row r="23" spans="1:22" x14ac:dyDescent="0.2">
      <c r="A23" s="1"/>
      <c r="B23" s="56">
        <f t="shared" si="0"/>
        <v>41760</v>
      </c>
      <c r="C23" s="56" t="s">
        <v>32</v>
      </c>
      <c r="D23" s="56" t="s">
        <v>13</v>
      </c>
      <c r="E23" s="71">
        <v>220</v>
      </c>
      <c r="F23" s="61">
        <v>4857.03</v>
      </c>
      <c r="G23" s="61">
        <v>4848.74</v>
      </c>
      <c r="H23" s="87">
        <v>-1.707E-3</v>
      </c>
      <c r="J23" s="56">
        <f t="shared" si="1"/>
        <v>41760</v>
      </c>
      <c r="K23" s="47" t="s">
        <v>32</v>
      </c>
      <c r="L23" s="56" t="s">
        <v>14</v>
      </c>
      <c r="M23" s="76">
        <v>220</v>
      </c>
      <c r="N23" s="61">
        <v>5597.18</v>
      </c>
      <c r="O23" s="61">
        <v>5573.64</v>
      </c>
      <c r="P23" s="63">
        <v>-4.2059999999999997E-3</v>
      </c>
      <c r="Q23" s="50" t="s">
        <v>15</v>
      </c>
      <c r="R23" s="76">
        <v>220</v>
      </c>
      <c r="S23" s="62">
        <v>4719.3999999999996</v>
      </c>
      <c r="T23" s="61">
        <v>4708.82</v>
      </c>
      <c r="U23" s="87">
        <v>-2.2420000000000001E-3</v>
      </c>
    </row>
    <row r="24" spans="1:22" x14ac:dyDescent="0.2">
      <c r="A24" s="1"/>
      <c r="B24" s="38">
        <f t="shared" si="0"/>
        <v>41791</v>
      </c>
      <c r="C24" s="38" t="s">
        <v>32</v>
      </c>
      <c r="D24" s="38" t="s">
        <v>13</v>
      </c>
      <c r="E24" s="72">
        <v>220</v>
      </c>
      <c r="F24" s="35">
        <v>4857.03</v>
      </c>
      <c r="G24" s="35">
        <v>4864.3</v>
      </c>
      <c r="H24" s="84">
        <v>1.4970000000000001E-3</v>
      </c>
      <c r="J24" s="38">
        <f t="shared" si="1"/>
        <v>41791</v>
      </c>
      <c r="K24" s="34" t="s">
        <v>32</v>
      </c>
      <c r="L24" s="38" t="s">
        <v>14</v>
      </c>
      <c r="M24" s="77">
        <v>220</v>
      </c>
      <c r="N24" s="35">
        <v>5597.18</v>
      </c>
      <c r="O24" s="35">
        <v>5593.94</v>
      </c>
      <c r="P24" s="42">
        <v>-5.7899999999999998E-4</v>
      </c>
      <c r="Q24" s="37" t="s">
        <v>15</v>
      </c>
      <c r="R24" s="77">
        <v>220</v>
      </c>
      <c r="S24" s="36">
        <v>4719.3999999999996</v>
      </c>
      <c r="T24" s="35">
        <v>4724.5600000000004</v>
      </c>
      <c r="U24" s="84">
        <v>1.093E-3</v>
      </c>
    </row>
    <row r="25" spans="1:22" x14ac:dyDescent="0.2">
      <c r="A25" s="1"/>
      <c r="B25" s="2">
        <f t="shared" si="0"/>
        <v>41821</v>
      </c>
      <c r="C25" s="2" t="s">
        <v>32</v>
      </c>
      <c r="D25" s="2" t="s">
        <v>13</v>
      </c>
      <c r="E25" s="73">
        <v>220</v>
      </c>
      <c r="F25" s="23">
        <v>4857.03</v>
      </c>
      <c r="G25" s="23">
        <v>4854.93</v>
      </c>
      <c r="H25" s="85">
        <v>-4.3199999999999998E-4</v>
      </c>
      <c r="J25" s="2">
        <f t="shared" si="1"/>
        <v>41821</v>
      </c>
      <c r="K25" s="33" t="s">
        <v>32</v>
      </c>
      <c r="L25" s="2" t="s">
        <v>14</v>
      </c>
      <c r="M25" s="78">
        <v>220</v>
      </c>
      <c r="N25" s="23">
        <v>5597.18</v>
      </c>
      <c r="O25" s="23">
        <v>5589.72</v>
      </c>
      <c r="P25" s="27">
        <v>-1.333E-3</v>
      </c>
      <c r="Q25" s="31" t="s">
        <v>15</v>
      </c>
      <c r="R25" s="78">
        <v>220</v>
      </c>
      <c r="S25" s="24">
        <v>4719.3999999999996</v>
      </c>
      <c r="T25" s="23">
        <v>4717.12</v>
      </c>
      <c r="U25" s="85">
        <v>-4.8299999999999998E-4</v>
      </c>
    </row>
    <row r="26" spans="1:22" x14ac:dyDescent="0.2">
      <c r="A26" s="1"/>
      <c r="B26" s="38">
        <f t="shared" si="0"/>
        <v>41852</v>
      </c>
      <c r="C26" s="38" t="s">
        <v>32</v>
      </c>
      <c r="D26" s="38" t="s">
        <v>13</v>
      </c>
      <c r="E26" s="72">
        <v>220</v>
      </c>
      <c r="F26" s="35">
        <v>4857.03</v>
      </c>
      <c r="G26" s="35">
        <v>4889.2</v>
      </c>
      <c r="H26" s="84">
        <v>6.6230000000000004E-3</v>
      </c>
      <c r="J26" s="38">
        <f t="shared" si="1"/>
        <v>41852</v>
      </c>
      <c r="K26" s="34" t="s">
        <v>32</v>
      </c>
      <c r="L26" s="38" t="s">
        <v>14</v>
      </c>
      <c r="M26" s="77">
        <v>220</v>
      </c>
      <c r="N26" s="35">
        <v>5597.18</v>
      </c>
      <c r="O26" s="35">
        <v>5636.59</v>
      </c>
      <c r="P26" s="42">
        <v>7.0410000000000004E-3</v>
      </c>
      <c r="Q26" s="37" t="s">
        <v>15</v>
      </c>
      <c r="R26" s="77">
        <v>220</v>
      </c>
      <c r="S26" s="36">
        <v>4719.3999999999996</v>
      </c>
      <c r="T26" s="35">
        <v>4751.7</v>
      </c>
      <c r="U26" s="84">
        <v>6.8440000000000003E-3</v>
      </c>
    </row>
    <row r="27" spans="1:22" ht="13.5" thickBot="1" x14ac:dyDescent="0.25">
      <c r="A27" s="1"/>
      <c r="B27" s="2">
        <f t="shared" si="0"/>
        <v>41883</v>
      </c>
      <c r="C27" s="2" t="s">
        <v>32</v>
      </c>
      <c r="D27" s="2" t="s">
        <v>13</v>
      </c>
      <c r="E27" s="73">
        <v>220</v>
      </c>
      <c r="F27" s="23">
        <v>4857.03</v>
      </c>
      <c r="G27" s="23">
        <v>5031.4799999999996</v>
      </c>
      <c r="H27" s="85">
        <v>3.5916999999999998E-2</v>
      </c>
      <c r="J27" s="91">
        <f t="shared" si="1"/>
        <v>41883</v>
      </c>
      <c r="K27" s="92" t="s">
        <v>32</v>
      </c>
      <c r="L27" s="91" t="s">
        <v>14</v>
      </c>
      <c r="M27" s="93">
        <v>220</v>
      </c>
      <c r="N27" s="94">
        <v>5597.18</v>
      </c>
      <c r="O27" s="94">
        <v>5805.37</v>
      </c>
      <c r="P27" s="95">
        <v>3.7196E-2</v>
      </c>
      <c r="Q27" s="96" t="s">
        <v>15</v>
      </c>
      <c r="R27" s="93">
        <v>220</v>
      </c>
      <c r="S27" s="97">
        <v>4719.3999999999996</v>
      </c>
      <c r="T27" s="94">
        <v>4889.76</v>
      </c>
      <c r="U27" s="98">
        <v>3.6097999999999998E-2</v>
      </c>
      <c r="V27" s="1"/>
    </row>
    <row r="28" spans="1:22" ht="13.5" thickBot="1" x14ac:dyDescent="0.25">
      <c r="A28" s="1"/>
      <c r="B28" s="57">
        <f t="shared" si="0"/>
        <v>41913</v>
      </c>
      <c r="C28" s="57" t="s">
        <v>32</v>
      </c>
      <c r="D28" s="57" t="s">
        <v>13</v>
      </c>
      <c r="E28" s="74">
        <v>220</v>
      </c>
      <c r="F28" s="52">
        <v>4857.03</v>
      </c>
      <c r="G28" s="52">
        <v>5110.91</v>
      </c>
      <c r="H28" s="86">
        <v>5.2270999999999998E-2</v>
      </c>
      <c r="J28" s="99">
        <f t="shared" si="1"/>
        <v>41913</v>
      </c>
      <c r="K28" s="100" t="s">
        <v>33</v>
      </c>
      <c r="L28" s="99" t="s">
        <v>14</v>
      </c>
      <c r="M28" s="101">
        <v>220</v>
      </c>
      <c r="N28" s="102">
        <v>5906.69</v>
      </c>
      <c r="O28" s="102">
        <v>5906.69</v>
      </c>
      <c r="P28" s="103">
        <v>0</v>
      </c>
      <c r="Q28" s="104" t="s">
        <v>15</v>
      </c>
      <c r="R28" s="101">
        <v>220</v>
      </c>
      <c r="S28" s="105">
        <v>4968.46</v>
      </c>
      <c r="T28" s="102">
        <v>4968.45</v>
      </c>
      <c r="U28" s="106">
        <v>-1.9999999999999999E-6</v>
      </c>
      <c r="V28" s="1"/>
    </row>
    <row r="29" spans="1:22" x14ac:dyDescent="0.2">
      <c r="A29" s="1"/>
      <c r="B29" s="56">
        <f t="shared" si="0"/>
        <v>41944</v>
      </c>
      <c r="C29" s="56" t="s">
        <v>34</v>
      </c>
      <c r="D29" s="56" t="s">
        <v>13</v>
      </c>
      <c r="E29" s="71">
        <v>220</v>
      </c>
      <c r="F29" s="61">
        <v>5102.8900000000003</v>
      </c>
      <c r="G29" s="61">
        <v>5097.9799999999996</v>
      </c>
      <c r="H29" s="87">
        <v>-9.6199999999999996E-4</v>
      </c>
      <c r="J29" s="55">
        <f t="shared" si="1"/>
        <v>41944</v>
      </c>
      <c r="K29" s="43" t="s">
        <v>34</v>
      </c>
      <c r="L29" s="55" t="s">
        <v>14</v>
      </c>
      <c r="M29" s="80">
        <v>220</v>
      </c>
      <c r="N29" s="44">
        <v>5898.97</v>
      </c>
      <c r="O29" s="44">
        <v>5890.31</v>
      </c>
      <c r="P29" s="58">
        <v>-1.4679999999999999E-3</v>
      </c>
      <c r="Q29" s="46" t="s">
        <v>15</v>
      </c>
      <c r="R29" s="80">
        <v>220</v>
      </c>
      <c r="S29" s="45">
        <v>4960.99</v>
      </c>
      <c r="T29" s="44">
        <v>4956.01</v>
      </c>
      <c r="U29" s="88">
        <v>-1.0039999999999999E-3</v>
      </c>
      <c r="V29" s="1"/>
    </row>
    <row r="30" spans="1:22" x14ac:dyDescent="0.2">
      <c r="A30" s="1"/>
      <c r="B30" s="38">
        <f t="shared" si="0"/>
        <v>41974</v>
      </c>
      <c r="C30" s="38" t="s">
        <v>34</v>
      </c>
      <c r="D30" s="38" t="s">
        <v>13</v>
      </c>
      <c r="E30" s="72">
        <v>220</v>
      </c>
      <c r="F30" s="35">
        <v>5102.8900000000003</v>
      </c>
      <c r="G30" s="35">
        <v>5137.87</v>
      </c>
      <c r="H30" s="84">
        <v>6.855E-3</v>
      </c>
      <c r="J30" s="38">
        <f t="shared" si="1"/>
        <v>41974</v>
      </c>
      <c r="K30" s="34" t="s">
        <v>34</v>
      </c>
      <c r="L30" s="38" t="s">
        <v>14</v>
      </c>
      <c r="M30" s="77">
        <v>220</v>
      </c>
      <c r="N30" s="35">
        <v>5898.97</v>
      </c>
      <c r="O30" s="35">
        <v>5935.24</v>
      </c>
      <c r="P30" s="42">
        <v>6.149E-3</v>
      </c>
      <c r="Q30" s="37" t="s">
        <v>15</v>
      </c>
      <c r="R30" s="77">
        <v>220</v>
      </c>
      <c r="S30" s="36">
        <v>4960.99</v>
      </c>
      <c r="T30" s="35">
        <v>4994.66</v>
      </c>
      <c r="U30" s="84">
        <v>6.7869999999999996E-3</v>
      </c>
      <c r="V30" s="1"/>
    </row>
    <row r="31" spans="1:22" x14ac:dyDescent="0.2">
      <c r="A31" s="1"/>
      <c r="B31" s="2">
        <f t="shared" si="0"/>
        <v>42005</v>
      </c>
      <c r="C31" s="2" t="s">
        <v>34</v>
      </c>
      <c r="D31" s="2" t="s">
        <v>13</v>
      </c>
      <c r="E31" s="73">
        <v>220</v>
      </c>
      <c r="F31" s="23">
        <v>5102.8900000000003</v>
      </c>
      <c r="G31" s="23">
        <v>5235.88</v>
      </c>
      <c r="H31" s="85">
        <v>2.6061999999999998E-2</v>
      </c>
      <c r="J31" s="2">
        <f t="shared" si="1"/>
        <v>42005</v>
      </c>
      <c r="K31" s="33" t="s">
        <v>34</v>
      </c>
      <c r="L31" s="2" t="s">
        <v>14</v>
      </c>
      <c r="M31" s="78">
        <v>220</v>
      </c>
      <c r="N31" s="23">
        <v>5898.97</v>
      </c>
      <c r="O31" s="23">
        <v>6055.37</v>
      </c>
      <c r="P31" s="27">
        <v>2.6512999999999998E-2</v>
      </c>
      <c r="Q31" s="31" t="s">
        <v>15</v>
      </c>
      <c r="R31" s="78">
        <v>220</v>
      </c>
      <c r="S31" s="24">
        <v>4960.99</v>
      </c>
      <c r="T31" s="23">
        <v>5090.53</v>
      </c>
      <c r="U31" s="85">
        <v>2.6112E-2</v>
      </c>
      <c r="V31" s="1"/>
    </row>
    <row r="32" spans="1:22" x14ac:dyDescent="0.2">
      <c r="A32" s="1"/>
      <c r="B32" s="38">
        <f t="shared" si="0"/>
        <v>42036</v>
      </c>
      <c r="C32" s="38" t="s">
        <v>34</v>
      </c>
      <c r="D32" s="38" t="s">
        <v>13</v>
      </c>
      <c r="E32" s="72">
        <v>220</v>
      </c>
      <c r="F32" s="35">
        <v>5102.8900000000003</v>
      </c>
      <c r="G32" s="35">
        <v>5280.49</v>
      </c>
      <c r="H32" s="84">
        <v>3.4804000000000002E-2</v>
      </c>
      <c r="J32" s="38">
        <f t="shared" si="1"/>
        <v>42036</v>
      </c>
      <c r="K32" s="34" t="s">
        <v>34</v>
      </c>
      <c r="L32" s="38" t="s">
        <v>14</v>
      </c>
      <c r="M32" s="77">
        <v>220</v>
      </c>
      <c r="N32" s="35">
        <v>5898.97</v>
      </c>
      <c r="O32" s="35">
        <v>6103.21</v>
      </c>
      <c r="P32" s="42">
        <v>3.4623000000000001E-2</v>
      </c>
      <c r="Q32" s="37" t="s">
        <v>15</v>
      </c>
      <c r="R32" s="77">
        <v>220</v>
      </c>
      <c r="S32" s="36">
        <v>4960.99</v>
      </c>
      <c r="T32" s="35">
        <v>5132.5</v>
      </c>
      <c r="U32" s="84">
        <v>3.4571999999999999E-2</v>
      </c>
      <c r="V32" s="1"/>
    </row>
    <row r="33" spans="2:21" x14ac:dyDescent="0.2">
      <c r="B33" s="2">
        <f t="shared" si="0"/>
        <v>42064</v>
      </c>
      <c r="C33" s="2" t="s">
        <v>34</v>
      </c>
      <c r="D33" s="2" t="s">
        <v>13</v>
      </c>
      <c r="E33" s="73">
        <v>220</v>
      </c>
      <c r="F33" s="23">
        <v>5102.8900000000003</v>
      </c>
      <c r="G33" s="23">
        <v>5313.98</v>
      </c>
      <c r="H33" s="85">
        <v>4.1367000000000001E-2</v>
      </c>
      <c r="J33" s="2">
        <f t="shared" si="1"/>
        <v>42064</v>
      </c>
      <c r="K33" s="33" t="s">
        <v>34</v>
      </c>
      <c r="L33" s="2" t="s">
        <v>14</v>
      </c>
      <c r="M33" s="78">
        <v>220</v>
      </c>
      <c r="N33" s="23">
        <v>5898.97</v>
      </c>
      <c r="O33" s="23">
        <v>6136.04</v>
      </c>
      <c r="P33" s="27">
        <v>4.0188000000000001E-2</v>
      </c>
      <c r="Q33" s="31" t="s">
        <v>15</v>
      </c>
      <c r="R33" s="78">
        <v>220</v>
      </c>
      <c r="S33" s="24">
        <v>4960.99</v>
      </c>
      <c r="T33" s="23">
        <v>5163.5200000000004</v>
      </c>
      <c r="U33" s="85">
        <v>4.0825E-2</v>
      </c>
    </row>
    <row r="34" spans="2:21" ht="13.5" thickBot="1" x14ac:dyDescent="0.25">
      <c r="B34" s="57">
        <f t="shared" si="0"/>
        <v>42095</v>
      </c>
      <c r="C34" s="57" t="s">
        <v>34</v>
      </c>
      <c r="D34" s="57" t="s">
        <v>13</v>
      </c>
      <c r="E34" s="74">
        <v>220</v>
      </c>
      <c r="F34" s="52">
        <v>5102.8900000000003</v>
      </c>
      <c r="G34" s="52">
        <v>5346.35</v>
      </c>
      <c r="H34" s="86">
        <v>4.7710000000000002E-2</v>
      </c>
      <c r="J34" s="57">
        <f t="shared" si="1"/>
        <v>42095</v>
      </c>
      <c r="K34" s="51" t="s">
        <v>34</v>
      </c>
      <c r="L34" s="57" t="s">
        <v>14</v>
      </c>
      <c r="M34" s="79">
        <v>220</v>
      </c>
      <c r="N34" s="52">
        <v>5898.97</v>
      </c>
      <c r="O34" s="52">
        <v>6161.16</v>
      </c>
      <c r="P34" s="60">
        <v>4.4447E-2</v>
      </c>
      <c r="Q34" s="54" t="s">
        <v>15</v>
      </c>
      <c r="R34" s="79">
        <v>220</v>
      </c>
      <c r="S34" s="53">
        <v>4960.99</v>
      </c>
      <c r="T34" s="52">
        <v>5192.2299999999996</v>
      </c>
      <c r="U34" s="86">
        <v>4.6612000000000001E-2</v>
      </c>
    </row>
    <row r="35" spans="2:21" x14ac:dyDescent="0.2">
      <c r="B35" s="56">
        <f t="shared" si="0"/>
        <v>42125</v>
      </c>
      <c r="C35" s="56" t="s">
        <v>41</v>
      </c>
      <c r="D35" s="56" t="s">
        <v>13</v>
      </c>
      <c r="E35" s="71">
        <v>220</v>
      </c>
      <c r="F35" s="61">
        <v>5338.29</v>
      </c>
      <c r="G35" s="61">
        <v>5277.64</v>
      </c>
      <c r="H35" s="87">
        <v>-1.1361E-2</v>
      </c>
      <c r="J35" s="56">
        <f t="shared" si="1"/>
        <v>42125</v>
      </c>
      <c r="K35" s="47" t="s">
        <v>41</v>
      </c>
      <c r="L35" s="56" t="s">
        <v>14</v>
      </c>
      <c r="M35" s="76">
        <v>220</v>
      </c>
      <c r="N35" s="61">
        <v>6154.02</v>
      </c>
      <c r="O35" s="61">
        <v>6068.78</v>
      </c>
      <c r="P35" s="63">
        <v>-1.3851E-2</v>
      </c>
      <c r="Q35" s="50" t="s">
        <v>15</v>
      </c>
      <c r="R35" s="76">
        <v>220</v>
      </c>
      <c r="S35" s="62">
        <v>5184.9399999999996</v>
      </c>
      <c r="T35" s="61">
        <v>5123.58</v>
      </c>
      <c r="U35" s="87">
        <v>-1.1834000000000001E-2</v>
      </c>
    </row>
    <row r="36" spans="2:21" x14ac:dyDescent="0.2">
      <c r="B36" s="38">
        <f t="shared" si="0"/>
        <v>42156</v>
      </c>
      <c r="C36" s="38" t="s">
        <v>41</v>
      </c>
      <c r="D36" s="38" t="s">
        <v>13</v>
      </c>
      <c r="E36" s="72">
        <v>220</v>
      </c>
      <c r="F36" s="35">
        <v>5338.29</v>
      </c>
      <c r="G36" s="35">
        <v>5250.42</v>
      </c>
      <c r="H36" s="84">
        <v>-1.6459999999999999E-2</v>
      </c>
      <c r="J36" s="38">
        <f t="shared" si="1"/>
        <v>42156</v>
      </c>
      <c r="K36" s="34" t="s">
        <v>41</v>
      </c>
      <c r="L36" s="38" t="s">
        <v>14</v>
      </c>
      <c r="M36" s="77">
        <v>220</v>
      </c>
      <c r="N36" s="35">
        <v>6154.02</v>
      </c>
      <c r="O36" s="35">
        <v>6018.41</v>
      </c>
      <c r="P36" s="42">
        <v>-2.2036E-2</v>
      </c>
      <c r="Q36" s="37" t="s">
        <v>15</v>
      </c>
      <c r="R36" s="77">
        <v>220</v>
      </c>
      <c r="S36" s="36">
        <v>5184.9399999999996</v>
      </c>
      <c r="T36" s="35">
        <v>5093.58</v>
      </c>
      <c r="U36" s="84">
        <v>-1.762E-2</v>
      </c>
    </row>
    <row r="37" spans="2:21" x14ac:dyDescent="0.2">
      <c r="B37" s="2">
        <f t="shared" si="0"/>
        <v>42186</v>
      </c>
      <c r="C37" s="2" t="s">
        <v>41</v>
      </c>
      <c r="D37" s="2" t="s">
        <v>13</v>
      </c>
      <c r="E37" s="73">
        <v>220</v>
      </c>
      <c r="F37" s="23">
        <v>5338.29</v>
      </c>
      <c r="G37" s="23">
        <v>5307.61</v>
      </c>
      <c r="H37" s="85">
        <v>-5.7470000000000004E-3</v>
      </c>
      <c r="J37" s="2">
        <f t="shared" si="1"/>
        <v>42186</v>
      </c>
      <c r="K37" s="33" t="s">
        <v>41</v>
      </c>
      <c r="L37" s="2" t="s">
        <v>14</v>
      </c>
      <c r="M37" s="78">
        <v>220</v>
      </c>
      <c r="N37" s="23">
        <v>6154.02</v>
      </c>
      <c r="O37" s="23">
        <v>6081.17</v>
      </c>
      <c r="P37" s="27">
        <v>-1.1838E-2</v>
      </c>
      <c r="Q37" s="31" t="s">
        <v>15</v>
      </c>
      <c r="R37" s="78">
        <v>220</v>
      </c>
      <c r="S37" s="24">
        <v>5184.9399999999996</v>
      </c>
      <c r="T37" s="23">
        <v>5148.03</v>
      </c>
      <c r="U37" s="85">
        <v>-7.1190000000000003E-3</v>
      </c>
    </row>
    <row r="38" spans="2:21" x14ac:dyDescent="0.2">
      <c r="B38" s="38">
        <f t="shared" si="0"/>
        <v>42217</v>
      </c>
      <c r="C38" s="38" t="s">
        <v>41</v>
      </c>
      <c r="D38" s="38" t="s">
        <v>13</v>
      </c>
      <c r="E38" s="72">
        <v>220</v>
      </c>
      <c r="F38" s="35">
        <v>5338.29</v>
      </c>
      <c r="G38" s="35">
        <v>5426.3</v>
      </c>
      <c r="H38" s="84">
        <v>1.6487000000000002E-2</v>
      </c>
      <c r="J38" s="38">
        <f t="shared" si="1"/>
        <v>42217</v>
      </c>
      <c r="K38" s="34" t="s">
        <v>41</v>
      </c>
      <c r="L38" s="38" t="s">
        <v>14</v>
      </c>
      <c r="M38" s="77">
        <v>220</v>
      </c>
      <c r="N38" s="35">
        <v>6154.02</v>
      </c>
      <c r="O38" s="35">
        <v>6216.37</v>
      </c>
      <c r="P38" s="42">
        <v>1.0132E-2</v>
      </c>
      <c r="Q38" s="37" t="s">
        <v>15</v>
      </c>
      <c r="R38" s="77">
        <v>220</v>
      </c>
      <c r="S38" s="36">
        <v>5184.9399999999996</v>
      </c>
      <c r="T38" s="35">
        <v>5262.13</v>
      </c>
      <c r="U38" s="84">
        <v>1.4886999999999999E-2</v>
      </c>
    </row>
    <row r="39" spans="2:21" x14ac:dyDescent="0.2">
      <c r="B39" s="2">
        <f t="shared" si="0"/>
        <v>42248</v>
      </c>
      <c r="C39" s="2" t="s">
        <v>41</v>
      </c>
      <c r="D39" s="2" t="s">
        <v>13</v>
      </c>
      <c r="E39" s="73">
        <v>220</v>
      </c>
      <c r="F39" s="107">
        <v>5338.29</v>
      </c>
      <c r="G39" s="107">
        <v>5657.76</v>
      </c>
      <c r="H39" s="108">
        <v>5.9845000000000002E-2</v>
      </c>
      <c r="J39" s="2">
        <f t="shared" si="1"/>
        <v>42248</v>
      </c>
      <c r="K39" s="33" t="s">
        <v>41</v>
      </c>
      <c r="L39" s="2" t="s">
        <v>14</v>
      </c>
      <c r="M39" s="78">
        <v>220</v>
      </c>
      <c r="N39" s="107">
        <v>6154.02</v>
      </c>
      <c r="O39" s="107">
        <v>6486.5</v>
      </c>
      <c r="P39" s="109">
        <v>5.4025999999999998E-2</v>
      </c>
      <c r="Q39" s="31" t="s">
        <v>15</v>
      </c>
      <c r="R39" s="78">
        <v>220</v>
      </c>
      <c r="S39" s="110">
        <v>5184.9399999999996</v>
      </c>
      <c r="T39" s="107">
        <v>5485.81</v>
      </c>
      <c r="U39" s="108">
        <v>5.8028000000000003E-2</v>
      </c>
    </row>
    <row r="40" spans="2:21" ht="13.5" thickBot="1" x14ac:dyDescent="0.25">
      <c r="B40" s="57">
        <f t="shared" si="0"/>
        <v>42278</v>
      </c>
      <c r="C40" s="57" t="s">
        <v>41</v>
      </c>
      <c r="D40" s="57" t="s">
        <v>13</v>
      </c>
      <c r="E40" s="74">
        <v>220</v>
      </c>
      <c r="F40" s="52">
        <v>5338.29</v>
      </c>
      <c r="G40" s="52">
        <v>5656.77</v>
      </c>
      <c r="H40" s="86">
        <v>5.9659999999999998E-2</v>
      </c>
      <c r="J40" s="57">
        <f t="shared" si="1"/>
        <v>42278</v>
      </c>
      <c r="K40" s="51" t="s">
        <v>41</v>
      </c>
      <c r="L40" s="57" t="s">
        <v>14</v>
      </c>
      <c r="M40" s="79">
        <v>220</v>
      </c>
      <c r="N40" s="52">
        <v>6154.02</v>
      </c>
      <c r="O40" s="52">
        <v>6489.39</v>
      </c>
      <c r="P40" s="60">
        <v>5.4496000000000003E-2</v>
      </c>
      <c r="Q40" s="54" t="s">
        <v>15</v>
      </c>
      <c r="R40" s="79">
        <v>220</v>
      </c>
      <c r="S40" s="53">
        <v>5184.9399999999996</v>
      </c>
      <c r="T40" s="52">
        <v>5486.05</v>
      </c>
      <c r="U40" s="86">
        <v>5.8074000000000001E-2</v>
      </c>
    </row>
    <row r="41" spans="2:21" x14ac:dyDescent="0.2">
      <c r="B41" s="56">
        <f t="shared" si="0"/>
        <v>42309</v>
      </c>
      <c r="C41" s="56" t="s">
        <v>43</v>
      </c>
      <c r="D41" s="56" t="s">
        <v>13</v>
      </c>
      <c r="E41" s="71">
        <v>220</v>
      </c>
      <c r="F41" s="61">
        <v>5645.62</v>
      </c>
      <c r="G41" s="61">
        <v>5640.09</v>
      </c>
      <c r="H41" s="87">
        <v>-9.7999999999999997E-4</v>
      </c>
      <c r="J41" s="56">
        <f t="shared" si="1"/>
        <v>42309</v>
      </c>
      <c r="K41" s="47" t="s">
        <v>43</v>
      </c>
      <c r="L41" s="56" t="s">
        <v>14</v>
      </c>
      <c r="M41" s="76">
        <v>220</v>
      </c>
      <c r="N41" s="61">
        <v>6479.43</v>
      </c>
      <c r="O41" s="61">
        <v>6479.05</v>
      </c>
      <c r="P41" s="63">
        <v>-5.8999999999999998E-5</v>
      </c>
      <c r="Q41" s="50" t="s">
        <v>15</v>
      </c>
      <c r="R41" s="76">
        <v>220</v>
      </c>
      <c r="S41" s="62">
        <v>5476.01</v>
      </c>
      <c r="T41" s="61">
        <v>5472.22</v>
      </c>
      <c r="U41" s="87">
        <v>-6.9200000000000002E-4</v>
      </c>
    </row>
    <row r="42" spans="2:21" x14ac:dyDescent="0.2">
      <c r="B42" s="38">
        <f t="shared" si="0"/>
        <v>42339</v>
      </c>
      <c r="C42" s="38" t="s">
        <v>43</v>
      </c>
      <c r="D42" s="38" t="s">
        <v>13</v>
      </c>
      <c r="E42" s="72">
        <v>220</v>
      </c>
      <c r="F42" s="35">
        <v>5645.62</v>
      </c>
      <c r="G42" s="35">
        <v>5711.28</v>
      </c>
      <c r="H42" s="84">
        <v>1.163E-2</v>
      </c>
      <c r="J42" s="38">
        <f t="shared" si="1"/>
        <v>42339</v>
      </c>
      <c r="K42" s="34" t="s">
        <v>43</v>
      </c>
      <c r="L42" s="38" t="s">
        <v>14</v>
      </c>
      <c r="M42" s="77">
        <v>220</v>
      </c>
      <c r="N42" s="35">
        <v>6479.43</v>
      </c>
      <c r="O42" s="35">
        <v>6578.83</v>
      </c>
      <c r="P42" s="42">
        <v>1.5341E-2</v>
      </c>
      <c r="Q42" s="37" t="s">
        <v>15</v>
      </c>
      <c r="R42" s="77">
        <v>220</v>
      </c>
      <c r="S42" s="36">
        <v>5476.01</v>
      </c>
      <c r="T42" s="35">
        <v>5544.74</v>
      </c>
      <c r="U42" s="84">
        <v>1.2551E-2</v>
      </c>
    </row>
    <row r="43" spans="2:21" x14ac:dyDescent="0.2">
      <c r="B43" s="2">
        <f t="shared" si="0"/>
        <v>42370</v>
      </c>
      <c r="C43" s="2" t="s">
        <v>43</v>
      </c>
      <c r="D43" s="2" t="s">
        <v>13</v>
      </c>
      <c r="E43" s="73">
        <v>220</v>
      </c>
      <c r="F43" s="23">
        <v>5645.62</v>
      </c>
      <c r="G43" s="23">
        <v>5761.72</v>
      </c>
      <c r="H43" s="85">
        <v>2.0565E-2</v>
      </c>
      <c r="J43" s="2">
        <f t="shared" si="1"/>
        <v>42370</v>
      </c>
      <c r="K43" s="33" t="s">
        <v>43</v>
      </c>
      <c r="L43" s="2" t="s">
        <v>14</v>
      </c>
      <c r="M43" s="78">
        <v>220</v>
      </c>
      <c r="N43" s="23">
        <v>6479.43</v>
      </c>
      <c r="O43" s="23">
        <v>6621.86</v>
      </c>
      <c r="P43" s="27">
        <v>2.1982000000000002E-2</v>
      </c>
      <c r="Q43" s="31" t="s">
        <v>15</v>
      </c>
      <c r="R43" s="78">
        <v>220</v>
      </c>
      <c r="S43" s="24">
        <v>5476.01</v>
      </c>
      <c r="T43" s="23">
        <v>5590.03</v>
      </c>
      <c r="U43" s="85">
        <v>2.0822E-2</v>
      </c>
    </row>
    <row r="44" spans="2:21" x14ac:dyDescent="0.2">
      <c r="B44" s="38">
        <f t="shared" si="0"/>
        <v>42401</v>
      </c>
      <c r="C44" s="38" t="s">
        <v>43</v>
      </c>
      <c r="D44" s="38" t="s">
        <v>13</v>
      </c>
      <c r="E44" s="72">
        <v>220</v>
      </c>
      <c r="F44" s="35">
        <v>5645.62</v>
      </c>
      <c r="G44" s="35">
        <v>5810.66</v>
      </c>
      <c r="H44" s="84">
        <v>2.9232999999999999E-2</v>
      </c>
      <c r="J44" s="38">
        <f t="shared" si="1"/>
        <v>42401</v>
      </c>
      <c r="K44" s="34" t="s">
        <v>43</v>
      </c>
      <c r="L44" s="38" t="s">
        <v>14</v>
      </c>
      <c r="M44" s="77">
        <v>220</v>
      </c>
      <c r="N44" s="35">
        <v>6479.43</v>
      </c>
      <c r="O44" s="35">
        <v>6681.52</v>
      </c>
      <c r="P44" s="42">
        <v>3.1189000000000001E-2</v>
      </c>
      <c r="Q44" s="37" t="s">
        <v>15</v>
      </c>
      <c r="R44" s="77">
        <v>220</v>
      </c>
      <c r="S44" s="36">
        <v>5476.01</v>
      </c>
      <c r="T44" s="35">
        <v>5637.83</v>
      </c>
      <c r="U44" s="84">
        <v>2.9551000000000001E-2</v>
      </c>
    </row>
    <row r="45" spans="2:21" x14ac:dyDescent="0.2">
      <c r="B45" s="2">
        <f t="shared" si="0"/>
        <v>42430</v>
      </c>
      <c r="C45" s="2" t="s">
        <v>43</v>
      </c>
      <c r="D45" s="2" t="s">
        <v>13</v>
      </c>
      <c r="E45" s="73">
        <v>220</v>
      </c>
      <c r="F45" s="23">
        <v>5645.62</v>
      </c>
      <c r="G45" s="23">
        <v>5732.99</v>
      </c>
      <c r="H45" s="85">
        <v>1.5476E-2</v>
      </c>
      <c r="J45" s="2">
        <f t="shared" si="1"/>
        <v>42430</v>
      </c>
      <c r="K45" s="33" t="s">
        <v>43</v>
      </c>
      <c r="L45" s="2" t="s">
        <v>14</v>
      </c>
      <c r="M45" s="78">
        <v>220</v>
      </c>
      <c r="N45" s="23">
        <v>6479.43</v>
      </c>
      <c r="O45" s="23">
        <v>6572.57</v>
      </c>
      <c r="P45" s="27">
        <v>1.4375000000000001E-2</v>
      </c>
      <c r="Q45" s="31" t="s">
        <v>15</v>
      </c>
      <c r="R45" s="78">
        <v>220</v>
      </c>
      <c r="S45" s="24">
        <v>5476.01</v>
      </c>
      <c r="T45" s="23">
        <v>5559.14</v>
      </c>
      <c r="U45" s="85">
        <v>1.5181E-2</v>
      </c>
    </row>
    <row r="46" spans="2:21" ht="13.5" thickBot="1" x14ac:dyDescent="0.25">
      <c r="B46" s="57">
        <f t="shared" si="0"/>
        <v>42461</v>
      </c>
      <c r="C46" s="57" t="s">
        <v>43</v>
      </c>
      <c r="D46" s="57" t="s">
        <v>13</v>
      </c>
      <c r="E46" s="74">
        <v>220</v>
      </c>
      <c r="F46" s="52">
        <v>5645.62</v>
      </c>
      <c r="G46" s="52">
        <v>5623.97</v>
      </c>
      <c r="H46" s="86">
        <v>-3.8349999999999999E-3</v>
      </c>
      <c r="J46" s="57">
        <f t="shared" si="1"/>
        <v>42461</v>
      </c>
      <c r="K46" s="51" t="s">
        <v>44</v>
      </c>
      <c r="L46" s="57" t="s">
        <v>14</v>
      </c>
      <c r="M46" s="79">
        <v>220</v>
      </c>
      <c r="N46" s="52">
        <v>6479.43</v>
      </c>
      <c r="O46" s="52">
        <v>6434.8</v>
      </c>
      <c r="P46" s="60">
        <v>-6.888E-3</v>
      </c>
      <c r="Q46" s="54" t="s">
        <v>15</v>
      </c>
      <c r="R46" s="79">
        <v>220</v>
      </c>
      <c r="S46" s="53">
        <v>5476.01</v>
      </c>
      <c r="T46" s="52">
        <v>5451.75</v>
      </c>
      <c r="U46" s="86">
        <v>-4.4299999999999999E-3</v>
      </c>
    </row>
    <row r="47" spans="2:21" x14ac:dyDescent="0.2">
      <c r="B47" s="56">
        <f t="shared" si="0"/>
        <v>42491</v>
      </c>
      <c r="C47" s="56" t="s">
        <v>45</v>
      </c>
      <c r="D47" s="56" t="s">
        <v>13</v>
      </c>
      <c r="E47" s="71">
        <v>220</v>
      </c>
      <c r="F47" s="61">
        <v>5627.69</v>
      </c>
      <c r="G47" s="61">
        <v>5567.09</v>
      </c>
      <c r="H47" s="87">
        <v>-1.0768E-2</v>
      </c>
      <c r="J47" s="56">
        <f t="shared" si="1"/>
        <v>42491</v>
      </c>
      <c r="K47" s="47" t="s">
        <v>45</v>
      </c>
      <c r="L47" s="56" t="s">
        <v>14</v>
      </c>
      <c r="M47" s="76">
        <v>220</v>
      </c>
      <c r="N47" s="61">
        <v>6438.54</v>
      </c>
      <c r="O47" s="61">
        <v>6358.68</v>
      </c>
      <c r="P47" s="63">
        <v>-1.2403000000000001E-2</v>
      </c>
      <c r="Q47" s="50" t="s">
        <v>15</v>
      </c>
      <c r="R47" s="76">
        <v>220</v>
      </c>
      <c r="S47" s="62">
        <v>5455.2</v>
      </c>
      <c r="T47" s="61">
        <v>5394.92</v>
      </c>
      <c r="U47" s="87">
        <v>-1.1050000000000001E-2</v>
      </c>
    </row>
    <row r="48" spans="2:21" x14ac:dyDescent="0.2">
      <c r="B48" s="38">
        <f t="shared" ref="B48:B53" si="2">+DATE(YEAR(B47),MONTH(B47)+1,1)</f>
        <v>42522</v>
      </c>
      <c r="C48" s="38" t="s">
        <v>45</v>
      </c>
      <c r="D48" s="38" t="s">
        <v>13</v>
      </c>
      <c r="E48" s="72">
        <v>220</v>
      </c>
      <c r="F48" s="35">
        <v>5627.69</v>
      </c>
      <c r="G48" s="35">
        <v>5634.42</v>
      </c>
      <c r="H48" s="84">
        <v>1.196E-3</v>
      </c>
      <c r="J48" s="38">
        <f t="shared" ref="J48:J53" si="3">+DATE(YEAR(J47),MONTH(J47)+1,1)</f>
        <v>42522</v>
      </c>
      <c r="K48" s="34" t="s">
        <v>45</v>
      </c>
      <c r="L48" s="38" t="s">
        <v>14</v>
      </c>
      <c r="M48" s="77">
        <v>220</v>
      </c>
      <c r="N48" s="35">
        <v>6438.54</v>
      </c>
      <c r="O48" s="35">
        <v>6427.58</v>
      </c>
      <c r="P48" s="42">
        <v>-1.702E-3</v>
      </c>
      <c r="Q48" s="37" t="s">
        <v>15</v>
      </c>
      <c r="R48" s="77">
        <v>220</v>
      </c>
      <c r="S48" s="36">
        <v>5455.2</v>
      </c>
      <c r="T48" s="35">
        <v>5458.01</v>
      </c>
      <c r="U48" s="84">
        <v>5.1500000000000005E-4</v>
      </c>
    </row>
    <row r="49" spans="2:21" x14ac:dyDescent="0.2">
      <c r="B49" s="2">
        <f t="shared" si="2"/>
        <v>42552</v>
      </c>
      <c r="C49" s="2" t="s">
        <v>45</v>
      </c>
      <c r="D49" s="2" t="s">
        <v>13</v>
      </c>
      <c r="E49" s="73">
        <v>220</v>
      </c>
      <c r="F49" s="23">
        <v>5627.69</v>
      </c>
      <c r="G49" s="23">
        <v>5624.16</v>
      </c>
      <c r="H49" s="85">
        <v>-6.2699999999999995E-4</v>
      </c>
      <c r="J49" s="2">
        <f t="shared" si="3"/>
        <v>42552</v>
      </c>
      <c r="K49" s="33" t="s">
        <v>45</v>
      </c>
      <c r="L49" s="2" t="s">
        <v>14</v>
      </c>
      <c r="M49" s="78">
        <v>220</v>
      </c>
      <c r="N49" s="23">
        <v>6438.54</v>
      </c>
      <c r="O49" s="23">
        <v>6413.36</v>
      </c>
      <c r="P49" s="27">
        <v>-3.9110000000000004E-3</v>
      </c>
      <c r="Q49" s="31" t="s">
        <v>15</v>
      </c>
      <c r="R49" s="78">
        <v>220</v>
      </c>
      <c r="S49" s="24">
        <v>5455.2</v>
      </c>
      <c r="T49" s="23">
        <v>5447.74</v>
      </c>
      <c r="U49" s="85">
        <v>-1.3680000000000001E-3</v>
      </c>
    </row>
    <row r="50" spans="2:21" x14ac:dyDescent="0.2">
      <c r="B50" s="38">
        <f t="shared" si="2"/>
        <v>42583</v>
      </c>
      <c r="C50" s="38" t="s">
        <v>45</v>
      </c>
      <c r="D50" s="38" t="s">
        <v>13</v>
      </c>
      <c r="E50" s="72">
        <v>220</v>
      </c>
      <c r="F50" s="35">
        <v>5627.69</v>
      </c>
      <c r="G50" s="35">
        <v>5517.19</v>
      </c>
      <c r="H50" s="84">
        <v>-1.9635E-2</v>
      </c>
      <c r="J50" s="38">
        <f t="shared" si="3"/>
        <v>42583</v>
      </c>
      <c r="K50" s="34" t="s">
        <v>45</v>
      </c>
      <c r="L50" s="38" t="s">
        <v>14</v>
      </c>
      <c r="M50" s="77">
        <v>220</v>
      </c>
      <c r="N50" s="35">
        <v>6438.54</v>
      </c>
      <c r="O50" s="35">
        <v>6278.72</v>
      </c>
      <c r="P50" s="42">
        <v>-2.4822E-2</v>
      </c>
      <c r="Q50" s="37" t="s">
        <v>15</v>
      </c>
      <c r="R50" s="77">
        <v>220</v>
      </c>
      <c r="S50" s="36">
        <v>5455.2</v>
      </c>
      <c r="T50" s="35">
        <v>5342.58</v>
      </c>
      <c r="U50" s="84">
        <v>-2.0645E-2</v>
      </c>
    </row>
    <row r="51" spans="2:21" x14ac:dyDescent="0.2">
      <c r="B51" s="2">
        <f t="shared" si="2"/>
        <v>42614</v>
      </c>
      <c r="C51" s="2" t="s">
        <v>45</v>
      </c>
      <c r="D51" s="2" t="s">
        <v>13</v>
      </c>
      <c r="E51" s="73">
        <v>220</v>
      </c>
      <c r="F51" s="23">
        <v>5627.69</v>
      </c>
      <c r="G51" s="23">
        <v>5534.13</v>
      </c>
      <c r="H51" s="85">
        <v>-1.6625000000000001E-2</v>
      </c>
      <c r="J51" s="2">
        <f t="shared" si="3"/>
        <v>42614</v>
      </c>
      <c r="K51" s="33" t="s">
        <v>45</v>
      </c>
      <c r="L51" s="2" t="s">
        <v>14</v>
      </c>
      <c r="M51" s="78">
        <v>220</v>
      </c>
      <c r="N51" s="23">
        <v>6438.54</v>
      </c>
      <c r="O51" s="23">
        <v>6300.62</v>
      </c>
      <c r="P51" s="27">
        <v>-2.1420999999999999E-2</v>
      </c>
      <c r="Q51" s="31" t="s">
        <v>15</v>
      </c>
      <c r="R51" s="78">
        <v>220</v>
      </c>
      <c r="S51" s="24">
        <v>5455.2</v>
      </c>
      <c r="T51" s="23">
        <v>5359.52</v>
      </c>
      <c r="U51" s="85">
        <v>-1.7538999999999999E-2</v>
      </c>
    </row>
    <row r="52" spans="2:21" x14ac:dyDescent="0.2">
      <c r="B52" s="38">
        <f t="shared" si="2"/>
        <v>42644</v>
      </c>
      <c r="C52" s="38" t="s">
        <v>45</v>
      </c>
      <c r="D52" s="38" t="s">
        <v>13</v>
      </c>
      <c r="E52" s="72">
        <v>220</v>
      </c>
      <c r="F52" s="35">
        <v>5627.69</v>
      </c>
      <c r="G52" s="35">
        <v>5573.8</v>
      </c>
      <c r="H52" s="84">
        <v>-9.5759999999999994E-3</v>
      </c>
      <c r="J52" s="38">
        <f t="shared" si="3"/>
        <v>42644</v>
      </c>
      <c r="K52" s="34" t="s">
        <v>45</v>
      </c>
      <c r="L52" s="38" t="s">
        <v>14</v>
      </c>
      <c r="M52" s="77">
        <v>220</v>
      </c>
      <c r="N52" s="35">
        <v>6438.54</v>
      </c>
      <c r="O52" s="35">
        <v>6355.32</v>
      </c>
      <c r="P52" s="42">
        <v>-1.2925000000000001E-2</v>
      </c>
      <c r="Q52" s="37" t="s">
        <v>15</v>
      </c>
      <c r="R52" s="77">
        <v>220</v>
      </c>
      <c r="S52" s="36">
        <v>5455.2</v>
      </c>
      <c r="T52" s="35">
        <v>5399.64</v>
      </c>
      <c r="U52" s="84">
        <v>-1.0185E-2</v>
      </c>
    </row>
    <row r="53" spans="2:21" x14ac:dyDescent="0.2">
      <c r="B53" s="2">
        <f t="shared" si="2"/>
        <v>42675</v>
      </c>
      <c r="C53" s="2" t="s">
        <v>45</v>
      </c>
      <c r="D53" s="2" t="s">
        <v>13</v>
      </c>
      <c r="E53" s="73">
        <v>220</v>
      </c>
      <c r="F53" s="23">
        <v>5627.69</v>
      </c>
      <c r="G53" s="23">
        <v>5564.93</v>
      </c>
      <c r="H53" s="85">
        <v>-1.1152E-2</v>
      </c>
      <c r="J53" s="2">
        <f t="shared" si="3"/>
        <v>42675</v>
      </c>
      <c r="K53" s="33" t="s">
        <v>45</v>
      </c>
      <c r="L53" s="2" t="s">
        <v>14</v>
      </c>
      <c r="M53" s="78">
        <v>220</v>
      </c>
      <c r="N53" s="23">
        <v>6438.54</v>
      </c>
      <c r="O53" s="23">
        <v>6351.43</v>
      </c>
      <c r="P53" s="27">
        <v>-1.3528999999999999E-2</v>
      </c>
      <c r="Q53" s="31" t="s">
        <v>15</v>
      </c>
      <c r="R53" s="78">
        <v>220</v>
      </c>
      <c r="S53" s="24">
        <v>5455.2</v>
      </c>
      <c r="T53" s="23">
        <v>5392.59</v>
      </c>
      <c r="U53" s="85">
        <v>-1.1476999999999999E-2</v>
      </c>
    </row>
    <row r="54" spans="2:21" x14ac:dyDescent="0.2">
      <c r="B54" s="38">
        <f t="shared" ref="B54:B83" si="4">+DATE(YEAR(B53),MONTH(B53)+1,1)</f>
        <v>42705</v>
      </c>
      <c r="C54" s="38" t="s">
        <v>45</v>
      </c>
      <c r="D54" s="38" t="s">
        <v>13</v>
      </c>
      <c r="E54" s="72">
        <v>220</v>
      </c>
      <c r="F54" s="35">
        <v>5627.69</v>
      </c>
      <c r="G54" s="35">
        <v>5603.77</v>
      </c>
      <c r="H54" s="84">
        <v>-4.2500000000000003E-3</v>
      </c>
      <c r="J54" s="38">
        <f t="shared" ref="J54:J61" si="5">+DATE(YEAR(J53),MONTH(J53)+1,1)</f>
        <v>42705</v>
      </c>
      <c r="K54" s="34" t="s">
        <v>45</v>
      </c>
      <c r="L54" s="38" t="s">
        <v>14</v>
      </c>
      <c r="M54" s="77">
        <v>220</v>
      </c>
      <c r="N54" s="35">
        <v>6438.54</v>
      </c>
      <c r="O54" s="35">
        <v>6401.76</v>
      </c>
      <c r="P54" s="42">
        <v>-5.7120000000000001E-3</v>
      </c>
      <c r="Q54" s="37" t="s">
        <v>15</v>
      </c>
      <c r="R54" s="77">
        <v>220</v>
      </c>
      <c r="S54" s="36">
        <v>5455.2</v>
      </c>
      <c r="T54" s="35">
        <v>5431.24</v>
      </c>
      <c r="U54" s="84">
        <v>-4.3920000000000001E-3</v>
      </c>
    </row>
    <row r="55" spans="2:21" x14ac:dyDescent="0.2">
      <c r="B55" s="2">
        <f t="shared" si="4"/>
        <v>42736</v>
      </c>
      <c r="C55" s="2" t="s">
        <v>45</v>
      </c>
      <c r="D55" s="2" t="s">
        <v>13</v>
      </c>
      <c r="E55" s="73">
        <v>220</v>
      </c>
      <c r="F55" s="23">
        <v>5627.69</v>
      </c>
      <c r="G55" s="23">
        <v>5613.05</v>
      </c>
      <c r="H55" s="85">
        <v>-2.601E-3</v>
      </c>
      <c r="J55" s="2">
        <f t="shared" si="5"/>
        <v>42736</v>
      </c>
      <c r="K55" s="33" t="s">
        <v>45</v>
      </c>
      <c r="L55" s="2" t="s">
        <v>14</v>
      </c>
      <c r="M55" s="78">
        <v>220</v>
      </c>
      <c r="N55" s="23">
        <v>6438.54</v>
      </c>
      <c r="O55" s="23">
        <v>6412.43</v>
      </c>
      <c r="P55" s="27">
        <v>-4.0549999999999996E-3</v>
      </c>
      <c r="Q55" s="31" t="s">
        <v>15</v>
      </c>
      <c r="R55" s="78">
        <v>220</v>
      </c>
      <c r="S55" s="24">
        <v>5455.2</v>
      </c>
      <c r="T55" s="23">
        <v>5440.2</v>
      </c>
      <c r="U55" s="85">
        <v>-2.7499999999999998E-3</v>
      </c>
    </row>
    <row r="56" spans="2:21" x14ac:dyDescent="0.2">
      <c r="B56" s="38">
        <f t="shared" si="4"/>
        <v>42767</v>
      </c>
      <c r="C56" s="38" t="s">
        <v>45</v>
      </c>
      <c r="D56" s="38" t="s">
        <v>13</v>
      </c>
      <c r="E56" s="72">
        <v>220</v>
      </c>
      <c r="F56" s="35">
        <v>5627.69</v>
      </c>
      <c r="G56" s="35">
        <v>5563.06</v>
      </c>
      <c r="H56" s="84">
        <v>-1.1483999999999999E-2</v>
      </c>
      <c r="J56" s="38">
        <f t="shared" si="5"/>
        <v>42767</v>
      </c>
      <c r="K56" s="34" t="s">
        <v>45</v>
      </c>
      <c r="L56" s="38" t="s">
        <v>14</v>
      </c>
      <c r="M56" s="77">
        <v>220</v>
      </c>
      <c r="N56" s="35">
        <v>6438.54</v>
      </c>
      <c r="O56" s="35">
        <v>6352.19</v>
      </c>
      <c r="P56" s="42">
        <v>-1.3410999999999999E-2</v>
      </c>
      <c r="Q56" s="37" t="s">
        <v>15</v>
      </c>
      <c r="R56" s="77">
        <v>220</v>
      </c>
      <c r="S56" s="36">
        <v>5455.2</v>
      </c>
      <c r="T56" s="35">
        <v>5391.42</v>
      </c>
      <c r="U56" s="84">
        <v>-1.1691999999999999E-2</v>
      </c>
    </row>
    <row r="57" spans="2:21" ht="13.5" thickBot="1" x14ac:dyDescent="0.25">
      <c r="B57" s="117">
        <f t="shared" si="4"/>
        <v>42795</v>
      </c>
      <c r="C57" s="117" t="s">
        <v>45</v>
      </c>
      <c r="D57" s="117" t="s">
        <v>13</v>
      </c>
      <c r="E57" s="127">
        <v>220</v>
      </c>
      <c r="F57" s="118">
        <v>5627.69</v>
      </c>
      <c r="G57" s="118">
        <v>5483.79</v>
      </c>
      <c r="H57" s="119">
        <v>-2.5569999999999999E-2</v>
      </c>
      <c r="J57" s="2">
        <f t="shared" si="5"/>
        <v>42795</v>
      </c>
      <c r="K57" s="33" t="s">
        <v>45</v>
      </c>
      <c r="L57" s="2" t="s">
        <v>14</v>
      </c>
      <c r="M57" s="78">
        <v>220</v>
      </c>
      <c r="N57" s="23">
        <v>6438.54</v>
      </c>
      <c r="O57" s="23">
        <v>6257.57</v>
      </c>
      <c r="P57" s="27">
        <v>-2.8107E-2</v>
      </c>
      <c r="Q57" s="31" t="s">
        <v>15</v>
      </c>
      <c r="R57" s="78">
        <v>220</v>
      </c>
      <c r="S57" s="24">
        <v>5455.2</v>
      </c>
      <c r="T57" s="23">
        <v>5314.71</v>
      </c>
      <c r="U57" s="85">
        <v>-2.5753000000000002E-2</v>
      </c>
    </row>
    <row r="58" spans="2:21" x14ac:dyDescent="0.2">
      <c r="B58" s="120">
        <f t="shared" si="4"/>
        <v>42826</v>
      </c>
      <c r="C58" s="120" t="s">
        <v>50</v>
      </c>
      <c r="D58" s="120" t="s">
        <v>13</v>
      </c>
      <c r="E58" s="128">
        <v>220</v>
      </c>
      <c r="F58" s="122">
        <v>5560.1</v>
      </c>
      <c r="G58" s="122">
        <v>5434.61</v>
      </c>
      <c r="H58" s="126">
        <v>-2.257E-2</v>
      </c>
      <c r="J58" s="120">
        <f t="shared" si="5"/>
        <v>42826</v>
      </c>
      <c r="K58" s="47" t="s">
        <v>50</v>
      </c>
      <c r="L58" s="120" t="s">
        <v>49</v>
      </c>
      <c r="M58" s="121">
        <v>220</v>
      </c>
      <c r="N58" s="122">
        <v>5619.99</v>
      </c>
      <c r="O58" s="122">
        <v>5495.53</v>
      </c>
      <c r="P58" s="123">
        <v>-2.2145999999999999E-2</v>
      </c>
      <c r="Q58" s="124" t="s">
        <v>48</v>
      </c>
      <c r="R58" s="121">
        <v>220</v>
      </c>
      <c r="S58" s="125">
        <v>5365.73</v>
      </c>
      <c r="T58" s="122">
        <v>5246.65</v>
      </c>
      <c r="U58" s="126">
        <v>-2.2193000000000001E-2</v>
      </c>
    </row>
    <row r="59" spans="2:21" x14ac:dyDescent="0.2">
      <c r="B59" s="2">
        <f t="shared" si="4"/>
        <v>42856</v>
      </c>
      <c r="C59" s="2" t="s">
        <v>50</v>
      </c>
      <c r="D59" s="2" t="s">
        <v>13</v>
      </c>
      <c r="E59" s="73">
        <v>220</v>
      </c>
      <c r="F59" s="23">
        <v>5560.1</v>
      </c>
      <c r="G59" s="111">
        <v>5537.81</v>
      </c>
      <c r="H59" s="85">
        <v>-4.0090000000000004E-3</v>
      </c>
      <c r="J59" s="2">
        <f t="shared" si="5"/>
        <v>42856</v>
      </c>
      <c r="K59" s="33" t="s">
        <v>50</v>
      </c>
      <c r="L59" s="2" t="s">
        <v>49</v>
      </c>
      <c r="M59" s="78">
        <v>220</v>
      </c>
      <c r="N59" s="23">
        <v>5619.99</v>
      </c>
      <c r="O59" s="23">
        <v>5598.56</v>
      </c>
      <c r="P59" s="27">
        <v>-3.813E-3</v>
      </c>
      <c r="Q59" s="31" t="s">
        <v>48</v>
      </c>
      <c r="R59" s="78">
        <v>220</v>
      </c>
      <c r="S59" s="24">
        <v>5365.73</v>
      </c>
      <c r="T59" s="23">
        <v>5345.16</v>
      </c>
      <c r="U59" s="85">
        <v>-3.8340000000000002E-3</v>
      </c>
    </row>
    <row r="60" spans="2:21" ht="13.5" thickBot="1" x14ac:dyDescent="0.25">
      <c r="B60" s="64">
        <f t="shared" ref="B60:B62" si="6">+DATE(YEAR(B59),MONTH(B59)+1,1)</f>
        <v>42887</v>
      </c>
      <c r="C60" s="64" t="s">
        <v>50</v>
      </c>
      <c r="D60" s="64" t="s">
        <v>13</v>
      </c>
      <c r="E60" s="131">
        <v>220</v>
      </c>
      <c r="F60" s="132">
        <v>5560.1</v>
      </c>
      <c r="G60" s="132">
        <v>5510.44</v>
      </c>
      <c r="H60" s="133">
        <v>-8.9309999999999997E-3</v>
      </c>
      <c r="J60" s="64">
        <f t="shared" ref="J60:J90" si="7">+DATE(YEAR(J59),MONTH(J59)+1,1)</f>
        <v>42887</v>
      </c>
      <c r="K60" s="130" t="s">
        <v>50</v>
      </c>
      <c r="L60" s="64" t="s">
        <v>49</v>
      </c>
      <c r="M60" s="81">
        <v>220</v>
      </c>
      <c r="N60" s="132">
        <v>5619.99</v>
      </c>
      <c r="O60" s="132">
        <v>5571.45</v>
      </c>
      <c r="P60" s="134">
        <v>-8.6370000000000006E-3</v>
      </c>
      <c r="Q60" s="65" t="s">
        <v>48</v>
      </c>
      <c r="R60" s="81">
        <v>220</v>
      </c>
      <c r="S60" s="135">
        <v>5365.73</v>
      </c>
      <c r="T60" s="132">
        <v>5319.25</v>
      </c>
      <c r="U60" s="133">
        <v>-8.6619999999999996E-3</v>
      </c>
    </row>
    <row r="61" spans="2:21" x14ac:dyDescent="0.2">
      <c r="B61" s="56">
        <f t="shared" si="4"/>
        <v>42917</v>
      </c>
      <c r="C61" s="56" t="s">
        <v>54</v>
      </c>
      <c r="D61" s="56" t="s">
        <v>13</v>
      </c>
      <c r="E61" s="71">
        <v>220</v>
      </c>
      <c r="F61" s="61">
        <v>5510.44</v>
      </c>
      <c r="G61" s="61">
        <v>5594.06</v>
      </c>
      <c r="H61" s="87">
        <v>1.5174999999999999E-2</v>
      </c>
      <c r="J61" s="56">
        <f t="shared" si="5"/>
        <v>42917</v>
      </c>
      <c r="K61" s="47" t="s">
        <v>50</v>
      </c>
      <c r="L61" s="56" t="s">
        <v>49</v>
      </c>
      <c r="M61" s="76">
        <v>220</v>
      </c>
      <c r="N61" s="61">
        <v>5619.99</v>
      </c>
      <c r="O61" s="61">
        <v>5655.4</v>
      </c>
      <c r="P61" s="63">
        <v>6.3010000000000002E-3</v>
      </c>
      <c r="Q61" s="50" t="s">
        <v>48</v>
      </c>
      <c r="R61" s="76">
        <v>220</v>
      </c>
      <c r="S61" s="62">
        <v>5365.73</v>
      </c>
      <c r="T61" s="61">
        <v>5399.26</v>
      </c>
      <c r="U61" s="87">
        <v>6.2490000000000002E-3</v>
      </c>
    </row>
    <row r="62" spans="2:21" x14ac:dyDescent="0.2">
      <c r="B62" s="38">
        <f t="shared" si="6"/>
        <v>42948</v>
      </c>
      <c r="C62" s="38" t="s">
        <v>54</v>
      </c>
      <c r="D62" s="38" t="s">
        <v>13</v>
      </c>
      <c r="E62" s="72">
        <v>220</v>
      </c>
      <c r="F62" s="35">
        <v>5510.44</v>
      </c>
      <c r="G62" s="35">
        <v>5542.54</v>
      </c>
      <c r="H62" s="84">
        <v>5.8250000000000003E-3</v>
      </c>
      <c r="J62" s="38">
        <f t="shared" si="7"/>
        <v>42948</v>
      </c>
      <c r="K62" s="34" t="s">
        <v>50</v>
      </c>
      <c r="L62" s="38" t="s">
        <v>49</v>
      </c>
      <c r="M62" s="77">
        <v>220</v>
      </c>
      <c r="N62" s="35">
        <v>5619.99</v>
      </c>
      <c r="O62" s="35">
        <v>5604.58</v>
      </c>
      <c r="P62" s="42">
        <v>-2.7420000000000001E-3</v>
      </c>
      <c r="Q62" s="37" t="s">
        <v>48</v>
      </c>
      <c r="R62" s="77">
        <v>220</v>
      </c>
      <c r="S62" s="36">
        <v>5365.73</v>
      </c>
      <c r="T62" s="35">
        <v>5350.34</v>
      </c>
      <c r="U62" s="84">
        <v>-2.8679999999999999E-3</v>
      </c>
    </row>
    <row r="63" spans="2:21" ht="13.5" thickBot="1" x14ac:dyDescent="0.25">
      <c r="B63" s="91">
        <f t="shared" si="4"/>
        <v>42979</v>
      </c>
      <c r="C63" s="91" t="s">
        <v>54</v>
      </c>
      <c r="D63" s="91" t="s">
        <v>13</v>
      </c>
      <c r="E63" s="138">
        <v>220</v>
      </c>
      <c r="F63" s="94">
        <v>5510.44</v>
      </c>
      <c r="G63" s="94">
        <v>5449.66</v>
      </c>
      <c r="H63" s="98">
        <v>-1.103E-2</v>
      </c>
      <c r="J63" s="91">
        <f t="shared" si="7"/>
        <v>42979</v>
      </c>
      <c r="K63" s="92" t="s">
        <v>50</v>
      </c>
      <c r="L63" s="91" t="s">
        <v>49</v>
      </c>
      <c r="M63" s="93">
        <v>220</v>
      </c>
      <c r="N63" s="94">
        <v>5619.99</v>
      </c>
      <c r="O63" s="94">
        <v>5513.4</v>
      </c>
      <c r="P63" s="95">
        <v>-1.8966E-2</v>
      </c>
      <c r="Q63" s="96" t="s">
        <v>48</v>
      </c>
      <c r="R63" s="93">
        <v>220</v>
      </c>
      <c r="S63" s="97">
        <v>5365.73</v>
      </c>
      <c r="T63" s="94">
        <v>5262.63</v>
      </c>
      <c r="U63" s="98">
        <v>-1.9214999999999999E-2</v>
      </c>
    </row>
    <row r="64" spans="2:21" x14ac:dyDescent="0.2">
      <c r="B64" s="116">
        <f t="shared" si="4"/>
        <v>43009</v>
      </c>
      <c r="C64" s="64" t="s">
        <v>55</v>
      </c>
      <c r="D64" s="116" t="s">
        <v>13</v>
      </c>
      <c r="E64" s="136">
        <v>220</v>
      </c>
      <c r="F64" s="113">
        <v>5507.1</v>
      </c>
      <c r="G64" s="113">
        <v>5294.37</v>
      </c>
      <c r="H64" s="137">
        <v>-3.8628000000000003E-2</v>
      </c>
      <c r="J64" s="116">
        <f t="shared" si="7"/>
        <v>43009</v>
      </c>
      <c r="K64" s="112" t="s">
        <v>55</v>
      </c>
      <c r="L64" s="115" t="s">
        <v>48</v>
      </c>
      <c r="M64" s="139">
        <v>220</v>
      </c>
      <c r="N64" s="113">
        <v>5400.39</v>
      </c>
      <c r="O64" s="113">
        <v>5194.99</v>
      </c>
      <c r="P64" s="140">
        <v>-3.8033999999999998E-2</v>
      </c>
      <c r="Q64" s="115" t="s">
        <v>56</v>
      </c>
      <c r="R64" s="139">
        <v>220</v>
      </c>
      <c r="S64" s="114">
        <v>4974.16</v>
      </c>
      <c r="T64" s="113">
        <v>4776.95</v>
      </c>
      <c r="U64" s="137">
        <v>-3.9647000000000002E-2</v>
      </c>
    </row>
    <row r="65" spans="2:21" x14ac:dyDescent="0.2">
      <c r="B65" s="2">
        <f t="shared" si="4"/>
        <v>43040</v>
      </c>
      <c r="C65" s="2" t="s">
        <v>55</v>
      </c>
      <c r="D65" s="2" t="s">
        <v>13</v>
      </c>
      <c r="E65" s="73">
        <v>220</v>
      </c>
      <c r="F65" s="107">
        <v>5507.1</v>
      </c>
      <c r="G65" s="107">
        <v>5194.5200000000004</v>
      </c>
      <c r="H65" s="108">
        <v>-5.6758999999999997E-2</v>
      </c>
      <c r="J65" s="2">
        <f t="shared" si="7"/>
        <v>43040</v>
      </c>
      <c r="K65" s="33" t="s">
        <v>55</v>
      </c>
      <c r="L65" s="31" t="s">
        <v>48</v>
      </c>
      <c r="M65" s="78">
        <v>220</v>
      </c>
      <c r="N65" s="107">
        <v>5400.39</v>
      </c>
      <c r="O65" s="107">
        <v>5098.1899999999996</v>
      </c>
      <c r="P65" s="109">
        <v>-5.5959000000000002E-2</v>
      </c>
      <c r="Q65" s="31" t="s">
        <v>56</v>
      </c>
      <c r="R65" s="78">
        <v>220</v>
      </c>
      <c r="S65" s="110">
        <v>4974.16</v>
      </c>
      <c r="T65" s="107">
        <v>4684.18</v>
      </c>
      <c r="U65" s="108">
        <v>-5.8297000000000002E-2</v>
      </c>
    </row>
    <row r="66" spans="2:21" x14ac:dyDescent="0.2">
      <c r="B66" s="38">
        <f t="shared" si="4"/>
        <v>43070</v>
      </c>
      <c r="C66" s="38" t="s">
        <v>55</v>
      </c>
      <c r="D66" s="38" t="s">
        <v>13</v>
      </c>
      <c r="E66" s="72">
        <v>220</v>
      </c>
      <c r="F66" s="35">
        <v>5507.1</v>
      </c>
      <c r="G66" s="35">
        <v>5230.0600000000004</v>
      </c>
      <c r="H66" s="84">
        <v>-5.0305999999999997E-2</v>
      </c>
      <c r="J66" s="38">
        <f t="shared" si="7"/>
        <v>43070</v>
      </c>
      <c r="K66" s="34" t="s">
        <v>55</v>
      </c>
      <c r="L66" s="37" t="s">
        <v>48</v>
      </c>
      <c r="M66" s="77">
        <v>220</v>
      </c>
      <c r="N66" s="35">
        <v>5400.39</v>
      </c>
      <c r="O66" s="35">
        <v>5132.97</v>
      </c>
      <c r="P66" s="42">
        <v>-4.9519000000000001E-2</v>
      </c>
      <c r="Q66" s="37" t="s">
        <v>56</v>
      </c>
      <c r="R66" s="77">
        <v>220</v>
      </c>
      <c r="S66" s="36">
        <v>4974.16</v>
      </c>
      <c r="T66" s="35">
        <v>4716.3</v>
      </c>
      <c r="U66" s="84">
        <v>-5.1839999999999997E-2</v>
      </c>
    </row>
    <row r="67" spans="2:21" ht="13.5" thickBot="1" x14ac:dyDescent="0.25">
      <c r="B67" s="91">
        <f t="shared" si="4"/>
        <v>43101</v>
      </c>
      <c r="C67" s="91" t="s">
        <v>55</v>
      </c>
      <c r="D67" s="91" t="s">
        <v>13</v>
      </c>
      <c r="E67" s="138">
        <v>220</v>
      </c>
      <c r="F67" s="94">
        <v>5507.1</v>
      </c>
      <c r="G67" s="94">
        <v>5297.03</v>
      </c>
      <c r="H67" s="98">
        <v>-3.8144999999999998E-2</v>
      </c>
      <c r="J67" s="91">
        <f t="shared" si="7"/>
        <v>43101</v>
      </c>
      <c r="K67" s="92" t="s">
        <v>55</v>
      </c>
      <c r="L67" s="91" t="s">
        <v>48</v>
      </c>
      <c r="M67" s="93">
        <v>220</v>
      </c>
      <c r="N67" s="94">
        <v>5400.39</v>
      </c>
      <c r="O67" s="94">
        <v>5197.78</v>
      </c>
      <c r="P67" s="95">
        <v>-3.7518000000000003E-2</v>
      </c>
      <c r="Q67" s="96" t="s">
        <v>56</v>
      </c>
      <c r="R67" s="93">
        <v>220</v>
      </c>
      <c r="S67" s="97">
        <v>4974.16</v>
      </c>
      <c r="T67" s="94">
        <v>4778.37</v>
      </c>
      <c r="U67" s="98">
        <v>-3.9361E-2</v>
      </c>
    </row>
    <row r="68" spans="2:21" x14ac:dyDescent="0.2">
      <c r="B68" s="38">
        <f t="shared" si="4"/>
        <v>43132</v>
      </c>
      <c r="C68" s="64" t="s">
        <v>57</v>
      </c>
      <c r="D68" s="38" t="s">
        <v>13</v>
      </c>
      <c r="E68" s="72">
        <v>220</v>
      </c>
      <c r="F68" s="35">
        <v>5297.03</v>
      </c>
      <c r="G68" s="35">
        <v>5294.08</v>
      </c>
      <c r="H68" s="84">
        <v>-5.5699999999999999E-4</v>
      </c>
      <c r="J68" s="38">
        <f t="shared" si="7"/>
        <v>43132</v>
      </c>
      <c r="K68" s="34" t="s">
        <v>55</v>
      </c>
      <c r="L68" s="37" t="s">
        <v>48</v>
      </c>
      <c r="M68" s="77">
        <v>220</v>
      </c>
      <c r="N68" s="35">
        <v>5400.39</v>
      </c>
      <c r="O68" s="35">
        <v>5195.16</v>
      </c>
      <c r="P68" s="42">
        <v>-3.8003000000000002E-2</v>
      </c>
      <c r="Q68" s="37" t="s">
        <v>56</v>
      </c>
      <c r="R68" s="77">
        <v>220</v>
      </c>
      <c r="S68" s="36">
        <v>4974.16</v>
      </c>
      <c r="T68" s="35">
        <v>4775.6400000000003</v>
      </c>
      <c r="U68" s="84">
        <v>-3.9910000000000001E-2</v>
      </c>
    </row>
    <row r="69" spans="2:21" ht="13.5" thickBot="1" x14ac:dyDescent="0.25">
      <c r="B69" s="117">
        <f t="shared" si="4"/>
        <v>43160</v>
      </c>
      <c r="C69" s="117" t="s">
        <v>57</v>
      </c>
      <c r="D69" s="117" t="s">
        <v>13</v>
      </c>
      <c r="E69" s="127">
        <v>220</v>
      </c>
      <c r="F69" s="118">
        <v>5297.03</v>
      </c>
      <c r="G69" s="118">
        <v>5146.83</v>
      </c>
      <c r="H69" s="119">
        <v>-2.8355999999999999E-2</v>
      </c>
      <c r="J69" s="117">
        <f t="shared" si="7"/>
        <v>43160</v>
      </c>
      <c r="K69" s="130" t="s">
        <v>55</v>
      </c>
      <c r="L69" s="117" t="s">
        <v>48</v>
      </c>
      <c r="M69" s="146">
        <v>220</v>
      </c>
      <c r="N69" s="118">
        <v>5400.39</v>
      </c>
      <c r="O69" s="118">
        <v>5052.49</v>
      </c>
      <c r="P69" s="147">
        <v>-6.4421000000000006E-2</v>
      </c>
      <c r="Q69" s="148" t="s">
        <v>56</v>
      </c>
      <c r="R69" s="146">
        <v>220</v>
      </c>
      <c r="S69" s="149">
        <v>4974.16</v>
      </c>
      <c r="T69" s="118">
        <v>4637.05</v>
      </c>
      <c r="U69" s="119">
        <v>-6.7771999999999999E-2</v>
      </c>
    </row>
    <row r="70" spans="2:21" x14ac:dyDescent="0.2">
      <c r="B70" s="120">
        <f t="shared" si="4"/>
        <v>43191</v>
      </c>
      <c r="C70" s="144" t="s">
        <v>58</v>
      </c>
      <c r="D70" s="120" t="s">
        <v>13</v>
      </c>
      <c r="E70" s="128">
        <v>220</v>
      </c>
      <c r="F70" s="142">
        <v>5302.82</v>
      </c>
      <c r="G70" s="142">
        <v>5108.0200000000004</v>
      </c>
      <c r="H70" s="145">
        <v>-3.6734999999999997E-2</v>
      </c>
      <c r="J70" s="120">
        <f t="shared" si="7"/>
        <v>43191</v>
      </c>
      <c r="K70" s="141" t="s">
        <v>58</v>
      </c>
      <c r="L70" s="124" t="s">
        <v>48</v>
      </c>
      <c r="M70" s="121">
        <v>220</v>
      </c>
      <c r="N70" s="142">
        <v>5122.32</v>
      </c>
      <c r="O70" s="142">
        <v>4937.3900000000003</v>
      </c>
      <c r="P70" s="150">
        <v>-3.6103000000000003E-2</v>
      </c>
      <c r="Q70" s="124" t="s">
        <v>56</v>
      </c>
      <c r="R70" s="121">
        <v>220</v>
      </c>
      <c r="S70" s="143">
        <v>4708.53</v>
      </c>
      <c r="T70" s="142">
        <v>4529.22</v>
      </c>
      <c r="U70" s="145">
        <v>-3.8081999999999998E-2</v>
      </c>
    </row>
    <row r="71" spans="2:21" x14ac:dyDescent="0.2">
      <c r="B71" s="2">
        <f t="shared" si="4"/>
        <v>43221</v>
      </c>
      <c r="C71" s="2" t="s">
        <v>58</v>
      </c>
      <c r="D71" s="2" t="s">
        <v>13</v>
      </c>
      <c r="E71" s="73">
        <v>220</v>
      </c>
      <c r="F71" s="107">
        <v>5302.82</v>
      </c>
      <c r="G71" s="107">
        <v>5136.59</v>
      </c>
      <c r="H71" s="108">
        <v>-3.1347E-2</v>
      </c>
      <c r="J71" s="2">
        <f t="shared" si="7"/>
        <v>43221</v>
      </c>
      <c r="K71" s="33" t="s">
        <v>58</v>
      </c>
      <c r="L71" s="31" t="s">
        <v>48</v>
      </c>
      <c r="M71" s="78">
        <v>220</v>
      </c>
      <c r="N71" s="107">
        <v>5122.32</v>
      </c>
      <c r="O71" s="107">
        <v>4964.8599999999997</v>
      </c>
      <c r="P71" s="109">
        <v>-3.074E-2</v>
      </c>
      <c r="Q71" s="31" t="s">
        <v>56</v>
      </c>
      <c r="R71" s="78">
        <v>220</v>
      </c>
      <c r="S71" s="110">
        <v>4708.53</v>
      </c>
      <c r="T71" s="107">
        <v>4555.29</v>
      </c>
      <c r="U71" s="108">
        <v>-3.2544999999999998E-2</v>
      </c>
    </row>
    <row r="72" spans="2:21" x14ac:dyDescent="0.2">
      <c r="B72" s="38">
        <f t="shared" si="4"/>
        <v>43252</v>
      </c>
      <c r="C72" s="38" t="s">
        <v>58</v>
      </c>
      <c r="D72" s="38" t="s">
        <v>13</v>
      </c>
      <c r="E72" s="72">
        <v>220</v>
      </c>
      <c r="F72" s="35">
        <v>5302.82</v>
      </c>
      <c r="G72" s="35">
        <v>5066.58</v>
      </c>
      <c r="H72" s="84">
        <v>-4.4549999999999999E-2</v>
      </c>
      <c r="J72" s="38">
        <f t="shared" si="7"/>
        <v>43252</v>
      </c>
      <c r="K72" s="34" t="s">
        <v>58</v>
      </c>
      <c r="L72" s="38" t="s">
        <v>48</v>
      </c>
      <c r="M72" s="77">
        <v>220</v>
      </c>
      <c r="N72" s="35">
        <v>5122.32</v>
      </c>
      <c r="O72" s="35">
        <v>4898.95</v>
      </c>
      <c r="P72" s="42">
        <v>-4.3607E-2</v>
      </c>
      <c r="Q72" s="37" t="s">
        <v>56</v>
      </c>
      <c r="R72" s="77">
        <v>220</v>
      </c>
      <c r="S72" s="36">
        <v>4708.53</v>
      </c>
      <c r="T72" s="35">
        <v>4491.62</v>
      </c>
      <c r="U72" s="84">
        <v>-4.6066999999999997E-2</v>
      </c>
    </row>
    <row r="73" spans="2:21" x14ac:dyDescent="0.2">
      <c r="B73" s="2">
        <f t="shared" si="4"/>
        <v>43282</v>
      </c>
      <c r="C73" s="2" t="s">
        <v>58</v>
      </c>
      <c r="D73" s="2" t="s">
        <v>13</v>
      </c>
      <c r="E73" s="73">
        <v>220</v>
      </c>
      <c r="F73" s="23">
        <v>5302.82</v>
      </c>
      <c r="G73" s="23">
        <v>5143.03</v>
      </c>
      <c r="H73" s="85">
        <v>-3.0133E-2</v>
      </c>
      <c r="J73" s="2">
        <f t="shared" si="7"/>
        <v>43282</v>
      </c>
      <c r="K73" s="33" t="s">
        <v>58</v>
      </c>
      <c r="L73" s="2" t="s">
        <v>48</v>
      </c>
      <c r="M73" s="78">
        <v>220</v>
      </c>
      <c r="N73" s="23">
        <v>5122.32</v>
      </c>
      <c r="O73" s="23">
        <v>4972.57</v>
      </c>
      <c r="P73" s="27">
        <v>-2.9235000000000001E-2</v>
      </c>
      <c r="Q73" s="31" t="s">
        <v>56</v>
      </c>
      <c r="R73" s="78">
        <v>220</v>
      </c>
      <c r="S73" s="24">
        <v>4708.53</v>
      </c>
      <c r="T73" s="23">
        <v>4562.33</v>
      </c>
      <c r="U73" s="85">
        <v>-3.1050000000000001E-2</v>
      </c>
    </row>
    <row r="74" spans="2:21" x14ac:dyDescent="0.2">
      <c r="B74" s="38">
        <f t="shared" si="4"/>
        <v>43313</v>
      </c>
      <c r="C74" s="38" t="s">
        <v>58</v>
      </c>
      <c r="D74" s="38" t="s">
        <v>13</v>
      </c>
      <c r="E74" s="72">
        <v>220</v>
      </c>
      <c r="F74" s="35">
        <v>5302.82</v>
      </c>
      <c r="G74" s="35">
        <v>5177.76</v>
      </c>
      <c r="H74" s="84">
        <v>-2.3584000000000001E-2</v>
      </c>
      <c r="J74" s="38">
        <f t="shared" si="7"/>
        <v>43313</v>
      </c>
      <c r="K74" s="34" t="s">
        <v>58</v>
      </c>
      <c r="L74" s="38" t="s">
        <v>48</v>
      </c>
      <c r="M74" s="77">
        <v>220</v>
      </c>
      <c r="N74" s="35">
        <v>5122.32</v>
      </c>
      <c r="O74" s="35">
        <v>5006.1099999999997</v>
      </c>
      <c r="P74" s="42">
        <v>-2.2686999999999999E-2</v>
      </c>
      <c r="Q74" s="37" t="s">
        <v>56</v>
      </c>
      <c r="R74" s="77">
        <v>220</v>
      </c>
      <c r="S74" s="36">
        <v>4708.53</v>
      </c>
      <c r="T74" s="35">
        <v>4594.71</v>
      </c>
      <c r="U74" s="84">
        <v>-2.4173E-2</v>
      </c>
    </row>
    <row r="75" spans="2:21" ht="13.5" thickBot="1" x14ac:dyDescent="0.25">
      <c r="B75" s="117">
        <f t="shared" si="4"/>
        <v>43344</v>
      </c>
      <c r="C75" s="117" t="s">
        <v>58</v>
      </c>
      <c r="D75" s="117" t="s">
        <v>13</v>
      </c>
      <c r="E75" s="127">
        <v>220</v>
      </c>
      <c r="F75" s="118">
        <v>5302.82</v>
      </c>
      <c r="G75" s="118">
        <v>5319.17</v>
      </c>
      <c r="H75" s="119">
        <v>3.0829999999999998E-3</v>
      </c>
      <c r="J75" s="117">
        <f t="shared" si="7"/>
        <v>43344</v>
      </c>
      <c r="K75" s="130" t="s">
        <v>58</v>
      </c>
      <c r="L75" s="117" t="s">
        <v>48</v>
      </c>
      <c r="M75" s="146">
        <v>220</v>
      </c>
      <c r="N75" s="118">
        <v>5122.32</v>
      </c>
      <c r="O75" s="118">
        <v>5140.9399999999996</v>
      </c>
      <c r="P75" s="147">
        <v>3.6350000000000002E-3</v>
      </c>
      <c r="Q75" s="148" t="s">
        <v>56</v>
      </c>
      <c r="R75" s="146">
        <v>220</v>
      </c>
      <c r="S75" s="149">
        <v>4708.53</v>
      </c>
      <c r="T75" s="118">
        <v>4723.58</v>
      </c>
      <c r="U75" s="119">
        <v>3.1960000000000001E-3</v>
      </c>
    </row>
    <row r="76" spans="2:21" x14ac:dyDescent="0.2">
      <c r="B76" s="120">
        <f t="shared" si="4"/>
        <v>43374</v>
      </c>
      <c r="C76" s="144" t="s">
        <v>60</v>
      </c>
      <c r="D76" s="120" t="s">
        <v>13</v>
      </c>
      <c r="E76" s="128">
        <v>220</v>
      </c>
      <c r="F76" s="142">
        <v>5152.34</v>
      </c>
      <c r="G76" s="142">
        <v>5412.85</v>
      </c>
      <c r="H76" s="145">
        <v>5.0561000000000002E-2</v>
      </c>
      <c r="J76" s="120">
        <f t="shared" si="7"/>
        <v>43374</v>
      </c>
      <c r="K76" s="141" t="s">
        <v>60</v>
      </c>
      <c r="L76" s="124" t="s">
        <v>48</v>
      </c>
      <c r="M76" s="121">
        <v>220</v>
      </c>
      <c r="N76" s="142">
        <v>4981.72</v>
      </c>
      <c r="O76" s="142">
        <v>5230.1899999999996</v>
      </c>
      <c r="P76" s="150">
        <v>4.9875999999999997E-2</v>
      </c>
      <c r="Q76" s="124" t="s">
        <v>56</v>
      </c>
      <c r="R76" s="121">
        <v>220</v>
      </c>
      <c r="S76" s="143">
        <v>4570.24</v>
      </c>
      <c r="T76" s="142">
        <v>4807.75</v>
      </c>
      <c r="U76" s="145">
        <v>5.1969000000000001E-2</v>
      </c>
    </row>
    <row r="77" spans="2:21" x14ac:dyDescent="0.2">
      <c r="B77" s="2">
        <f t="shared" si="4"/>
        <v>43405</v>
      </c>
      <c r="C77" s="2" t="s">
        <v>60</v>
      </c>
      <c r="D77" s="2" t="s">
        <v>13</v>
      </c>
      <c r="E77" s="73">
        <v>220</v>
      </c>
      <c r="F77" s="35">
        <v>5152.34</v>
      </c>
      <c r="G77" s="107">
        <v>5547.35</v>
      </c>
      <c r="H77" s="108">
        <v>7.6665999999999998E-2</v>
      </c>
      <c r="J77" s="2">
        <f t="shared" si="7"/>
        <v>43405</v>
      </c>
      <c r="K77" s="33" t="s">
        <v>60</v>
      </c>
      <c r="L77" s="31" t="s">
        <v>48</v>
      </c>
      <c r="M77" s="78">
        <v>220</v>
      </c>
      <c r="N77" s="35">
        <v>4981.72</v>
      </c>
      <c r="O77" s="107">
        <v>5358.82</v>
      </c>
      <c r="P77" s="109">
        <v>7.5697E-2</v>
      </c>
      <c r="Q77" s="31" t="s">
        <v>56</v>
      </c>
      <c r="R77" s="78">
        <v>220</v>
      </c>
      <c r="S77" s="114">
        <v>4570.24</v>
      </c>
      <c r="T77" s="107">
        <v>4930.92</v>
      </c>
      <c r="U77" s="108">
        <v>7.8919000000000003E-2</v>
      </c>
    </row>
    <row r="78" spans="2:21" x14ac:dyDescent="0.2">
      <c r="B78" s="38">
        <f t="shared" si="4"/>
        <v>43435</v>
      </c>
      <c r="C78" s="38" t="s">
        <v>60</v>
      </c>
      <c r="D78" s="38" t="s">
        <v>13</v>
      </c>
      <c r="E78" s="72">
        <v>220</v>
      </c>
      <c r="F78" s="35">
        <v>5152.34</v>
      </c>
      <c r="G78" s="35">
        <v>5531.83</v>
      </c>
      <c r="H78" s="84">
        <v>7.3653999999999997E-2</v>
      </c>
      <c r="J78" s="38">
        <f t="shared" si="7"/>
        <v>43435</v>
      </c>
      <c r="K78" s="34" t="s">
        <v>60</v>
      </c>
      <c r="L78" s="38" t="s">
        <v>48</v>
      </c>
      <c r="M78" s="77">
        <v>220</v>
      </c>
      <c r="N78" s="35">
        <v>4981.72</v>
      </c>
      <c r="O78" s="35">
        <v>5344.7</v>
      </c>
      <c r="P78" s="42">
        <v>7.2861999999999996E-2</v>
      </c>
      <c r="Q78" s="37" t="s">
        <v>56</v>
      </c>
      <c r="R78" s="77">
        <v>220</v>
      </c>
      <c r="S78" s="114">
        <v>4570.24</v>
      </c>
      <c r="T78" s="35">
        <v>4916.8599999999997</v>
      </c>
      <c r="U78" s="84">
        <v>7.5842999999999994E-2</v>
      </c>
    </row>
    <row r="79" spans="2:21" ht="13.5" thickBot="1" x14ac:dyDescent="0.25">
      <c r="B79" s="117">
        <f t="shared" si="4"/>
        <v>43466</v>
      </c>
      <c r="C79" s="117" t="s">
        <v>60</v>
      </c>
      <c r="D79" s="117" t="s">
        <v>13</v>
      </c>
      <c r="E79" s="127">
        <v>220</v>
      </c>
      <c r="F79" s="66">
        <v>5152.34</v>
      </c>
      <c r="G79" s="118">
        <v>5538.39</v>
      </c>
      <c r="H79" s="119">
        <v>7.4926999999999994E-2</v>
      </c>
      <c r="J79" s="117">
        <f t="shared" si="7"/>
        <v>43466</v>
      </c>
      <c r="K79" s="130" t="s">
        <v>60</v>
      </c>
      <c r="L79" s="117" t="s">
        <v>48</v>
      </c>
      <c r="M79" s="146">
        <v>220</v>
      </c>
      <c r="N79" s="66">
        <v>4981.72</v>
      </c>
      <c r="O79" s="118">
        <v>5351.08</v>
      </c>
      <c r="P79" s="147">
        <v>7.4143000000000001E-2</v>
      </c>
      <c r="Q79" s="148" t="s">
        <v>56</v>
      </c>
      <c r="R79" s="146">
        <v>220</v>
      </c>
      <c r="S79" s="151">
        <v>4570.24</v>
      </c>
      <c r="T79" s="118">
        <v>4923.1000000000004</v>
      </c>
      <c r="U79" s="119">
        <v>7.7207999999999999E-2</v>
      </c>
    </row>
    <row r="80" spans="2:21" x14ac:dyDescent="0.2">
      <c r="B80" s="144">
        <f t="shared" si="4"/>
        <v>43497</v>
      </c>
      <c r="C80" s="144" t="s">
        <v>61</v>
      </c>
      <c r="D80" s="144" t="s">
        <v>13</v>
      </c>
      <c r="E80" s="152">
        <v>220</v>
      </c>
      <c r="F80" s="153">
        <v>5538.39</v>
      </c>
      <c r="G80" s="153">
        <v>5559.4</v>
      </c>
      <c r="H80" s="154">
        <v>3.7940000000000001E-3</v>
      </c>
      <c r="I80" s="163"/>
      <c r="J80" s="144">
        <f t="shared" si="7"/>
        <v>43497</v>
      </c>
      <c r="K80" s="144" t="s">
        <v>61</v>
      </c>
      <c r="L80" s="144" t="s">
        <v>48</v>
      </c>
      <c r="M80" s="155">
        <v>220</v>
      </c>
      <c r="N80" s="153">
        <v>5351.08</v>
      </c>
      <c r="O80" s="153">
        <v>5371.03</v>
      </c>
      <c r="P80" s="156">
        <v>3.728E-3</v>
      </c>
      <c r="Q80" s="157" t="s">
        <v>56</v>
      </c>
      <c r="R80" s="155">
        <v>220</v>
      </c>
      <c r="S80" s="158">
        <v>4923.1000000000004</v>
      </c>
      <c r="T80" s="153">
        <v>4942.6099999999997</v>
      </c>
      <c r="U80" s="154">
        <v>3.9630000000000004E-3</v>
      </c>
    </row>
    <row r="81" spans="2:21" ht="13.5" thickBot="1" x14ac:dyDescent="0.25">
      <c r="B81" s="117">
        <f t="shared" si="4"/>
        <v>43525</v>
      </c>
      <c r="C81" s="117" t="s">
        <v>61</v>
      </c>
      <c r="D81" s="117" t="s">
        <v>13</v>
      </c>
      <c r="E81" s="127">
        <v>220</v>
      </c>
      <c r="F81" s="159">
        <v>5538.39</v>
      </c>
      <c r="G81" s="159">
        <v>5551.33</v>
      </c>
      <c r="H81" s="162">
        <v>2.336E-3</v>
      </c>
      <c r="I81" s="163"/>
      <c r="J81" s="117">
        <f t="shared" si="7"/>
        <v>43525</v>
      </c>
      <c r="K81" s="117" t="s">
        <v>61</v>
      </c>
      <c r="L81" s="117" t="s">
        <v>48</v>
      </c>
      <c r="M81" s="146">
        <v>220</v>
      </c>
      <c r="N81" s="159">
        <v>5351.08</v>
      </c>
      <c r="O81" s="159">
        <v>5363.18</v>
      </c>
      <c r="P81" s="161">
        <v>2.261E-3</v>
      </c>
      <c r="Q81" s="148" t="s">
        <v>56</v>
      </c>
      <c r="R81" s="146">
        <v>220</v>
      </c>
      <c r="S81" s="160">
        <v>4923.1000000000004</v>
      </c>
      <c r="T81" s="159">
        <v>4934.57</v>
      </c>
      <c r="U81" s="162">
        <v>2.33E-3</v>
      </c>
    </row>
    <row r="82" spans="2:21" x14ac:dyDescent="0.2">
      <c r="B82" s="120">
        <f t="shared" si="4"/>
        <v>43556</v>
      </c>
      <c r="C82" s="120" t="s">
        <v>63</v>
      </c>
      <c r="D82" s="120" t="s">
        <v>13</v>
      </c>
      <c r="E82" s="128">
        <v>220</v>
      </c>
      <c r="F82" s="142">
        <v>5523.4</v>
      </c>
      <c r="G82" s="142">
        <v>5434.94</v>
      </c>
      <c r="H82" s="145">
        <v>-1.6015000000000001E-2</v>
      </c>
      <c r="I82" s="163"/>
      <c r="J82" s="120">
        <f t="shared" si="7"/>
        <v>43556</v>
      </c>
      <c r="K82" s="120" t="s">
        <v>63</v>
      </c>
      <c r="L82" s="120" t="s">
        <v>48</v>
      </c>
      <c r="M82" s="121">
        <v>220</v>
      </c>
      <c r="N82" s="142">
        <v>5336.31</v>
      </c>
      <c r="O82" s="142">
        <v>5251.8</v>
      </c>
      <c r="P82" s="150">
        <v>-1.5837E-2</v>
      </c>
      <c r="Q82" s="124" t="s">
        <v>56</v>
      </c>
      <c r="R82" s="121">
        <v>220</v>
      </c>
      <c r="S82" s="143">
        <v>4910.03</v>
      </c>
      <c r="T82" s="142">
        <v>4828.1899999999996</v>
      </c>
      <c r="U82" s="145">
        <v>-1.6667999999999999E-2</v>
      </c>
    </row>
    <row r="83" spans="2:21" x14ac:dyDescent="0.2">
      <c r="B83" s="2">
        <f t="shared" si="4"/>
        <v>43586</v>
      </c>
      <c r="C83" s="2" t="s">
        <v>63</v>
      </c>
      <c r="D83" s="2" t="s">
        <v>13</v>
      </c>
      <c r="E83" s="73">
        <v>220</v>
      </c>
      <c r="F83" s="107">
        <v>5523.4</v>
      </c>
      <c r="G83" s="107">
        <v>5543.69</v>
      </c>
      <c r="H83" s="108">
        <v>3.673E-3</v>
      </c>
      <c r="I83" s="163"/>
      <c r="J83" s="2">
        <f t="shared" si="7"/>
        <v>43586</v>
      </c>
      <c r="K83" s="2" t="s">
        <v>63</v>
      </c>
      <c r="L83" s="2" t="s">
        <v>48</v>
      </c>
      <c r="M83" s="78">
        <v>220</v>
      </c>
      <c r="N83" s="107">
        <v>5336.31</v>
      </c>
      <c r="O83" s="107">
        <v>5355.59</v>
      </c>
      <c r="P83" s="109">
        <v>3.6129999999999999E-3</v>
      </c>
      <c r="Q83" s="31" t="s">
        <v>56</v>
      </c>
      <c r="R83" s="78">
        <v>220</v>
      </c>
      <c r="S83" s="110">
        <v>4910.03</v>
      </c>
      <c r="T83" s="107">
        <v>4927.01</v>
      </c>
      <c r="U83" s="108">
        <v>3.4580000000000001E-3</v>
      </c>
    </row>
    <row r="84" spans="2:21" x14ac:dyDescent="0.2">
      <c r="B84" s="38">
        <f t="shared" ref="B84:B87" si="8">+DATE(YEAR(B83),MONTH(B83)+1,1)</f>
        <v>43617</v>
      </c>
      <c r="C84" s="38" t="s">
        <v>63</v>
      </c>
      <c r="D84" s="38" t="s">
        <v>13</v>
      </c>
      <c r="E84" s="72">
        <v>220</v>
      </c>
      <c r="F84" s="35">
        <v>5523.4</v>
      </c>
      <c r="G84" s="35">
        <v>5559.6</v>
      </c>
      <c r="H84" s="84">
        <v>6.5539999999999999E-3</v>
      </c>
      <c r="I84" s="163"/>
      <c r="J84" s="38">
        <f t="shared" si="7"/>
        <v>43617</v>
      </c>
      <c r="K84" s="38" t="s">
        <v>63</v>
      </c>
      <c r="L84" s="38" t="s">
        <v>48</v>
      </c>
      <c r="M84" s="77">
        <v>220</v>
      </c>
      <c r="N84" s="35">
        <v>5336.31</v>
      </c>
      <c r="O84" s="35">
        <v>5370.53</v>
      </c>
      <c r="P84" s="42">
        <v>6.4130000000000003E-3</v>
      </c>
      <c r="Q84" s="37" t="s">
        <v>56</v>
      </c>
      <c r="R84" s="77">
        <v>220</v>
      </c>
      <c r="S84" s="36">
        <v>4910.03</v>
      </c>
      <c r="T84" s="35">
        <v>4940.4399999999996</v>
      </c>
      <c r="U84" s="84">
        <v>6.1929999999999997E-3</v>
      </c>
    </row>
    <row r="85" spans="2:21" x14ac:dyDescent="0.2">
      <c r="B85" s="2">
        <f t="shared" si="8"/>
        <v>43647</v>
      </c>
      <c r="C85" s="2" t="s">
        <v>63</v>
      </c>
      <c r="D85" s="2" t="s">
        <v>13</v>
      </c>
      <c r="E85" s="73">
        <v>220</v>
      </c>
      <c r="F85" s="107">
        <v>5523.4</v>
      </c>
      <c r="G85" s="107">
        <v>5727.94</v>
      </c>
      <c r="H85" s="108">
        <v>3.7032000000000002E-2</v>
      </c>
      <c r="I85" s="163"/>
      <c r="J85" s="2">
        <f t="shared" si="7"/>
        <v>43647</v>
      </c>
      <c r="K85" s="2" t="s">
        <v>63</v>
      </c>
      <c r="L85" s="2" t="s">
        <v>48</v>
      </c>
      <c r="M85" s="78">
        <v>220</v>
      </c>
      <c r="N85" s="107">
        <v>5336.31</v>
      </c>
      <c r="O85" s="107">
        <v>5530.94</v>
      </c>
      <c r="P85" s="109">
        <v>3.6472999999999998E-2</v>
      </c>
      <c r="Q85" s="31" t="s">
        <v>56</v>
      </c>
      <c r="R85" s="78">
        <v>220</v>
      </c>
      <c r="S85" s="110">
        <v>4910.03</v>
      </c>
      <c r="T85" s="107">
        <v>5093.38</v>
      </c>
      <c r="U85" s="108">
        <v>3.7342E-2</v>
      </c>
    </row>
    <row r="86" spans="2:21" x14ac:dyDescent="0.2">
      <c r="B86" s="38">
        <f t="shared" si="8"/>
        <v>43678</v>
      </c>
      <c r="C86" s="38" t="s">
        <v>63</v>
      </c>
      <c r="D86" s="38" t="s">
        <v>13</v>
      </c>
      <c r="E86" s="72">
        <v>220</v>
      </c>
      <c r="F86" s="35">
        <v>5523.4</v>
      </c>
      <c r="G86" s="35">
        <v>5733.09</v>
      </c>
      <c r="H86" s="84">
        <v>3.7963999999999998E-2</v>
      </c>
      <c r="I86" s="163"/>
      <c r="J86" s="38">
        <f t="shared" si="7"/>
        <v>43678</v>
      </c>
      <c r="K86" s="38" t="s">
        <v>63</v>
      </c>
      <c r="L86" s="38" t="s">
        <v>48</v>
      </c>
      <c r="M86" s="77">
        <v>220</v>
      </c>
      <c r="N86" s="35">
        <v>5336.31</v>
      </c>
      <c r="O86" s="35">
        <v>5535.6</v>
      </c>
      <c r="P86" s="42">
        <v>3.7345999999999997E-2</v>
      </c>
      <c r="Q86" s="37" t="s">
        <v>56</v>
      </c>
      <c r="R86" s="77">
        <v>220</v>
      </c>
      <c r="S86" s="36">
        <v>4910.03</v>
      </c>
      <c r="T86" s="35">
        <v>5097.5200000000004</v>
      </c>
      <c r="U86" s="84">
        <v>3.8184999999999997E-2</v>
      </c>
    </row>
    <row r="87" spans="2:21" ht="13.5" thickBot="1" x14ac:dyDescent="0.25">
      <c r="B87" s="117">
        <f t="shared" si="8"/>
        <v>43709</v>
      </c>
      <c r="C87" s="117" t="s">
        <v>63</v>
      </c>
      <c r="D87" s="117" t="s">
        <v>13</v>
      </c>
      <c r="E87" s="127">
        <v>220</v>
      </c>
      <c r="F87" s="159">
        <v>5523.4</v>
      </c>
      <c r="G87" s="159">
        <v>5724.77</v>
      </c>
      <c r="H87" s="162">
        <v>3.6457999999999997E-2</v>
      </c>
      <c r="I87" s="163"/>
      <c r="J87" s="117">
        <f t="shared" si="7"/>
        <v>43709</v>
      </c>
      <c r="K87" s="117" t="s">
        <v>63</v>
      </c>
      <c r="L87" s="117" t="s">
        <v>48</v>
      </c>
      <c r="M87" s="146">
        <v>220</v>
      </c>
      <c r="N87" s="159">
        <v>5336.31</v>
      </c>
      <c r="O87" s="159">
        <v>5527.69</v>
      </c>
      <c r="P87" s="161">
        <v>3.5864E-2</v>
      </c>
      <c r="Q87" s="148" t="s">
        <v>56</v>
      </c>
      <c r="R87" s="146">
        <v>220</v>
      </c>
      <c r="S87" s="160">
        <v>4910.03</v>
      </c>
      <c r="T87" s="159">
        <v>5089.24</v>
      </c>
      <c r="U87" s="162">
        <v>3.6498999999999997E-2</v>
      </c>
    </row>
    <row r="88" spans="2:21" x14ac:dyDescent="0.2">
      <c r="B88" s="165"/>
      <c r="C88" s="167"/>
      <c r="D88" s="167"/>
      <c r="E88" s="168"/>
      <c r="F88" s="166"/>
      <c r="G88" s="166"/>
      <c r="H88" s="169"/>
      <c r="I88" s="163"/>
      <c r="J88" s="120">
        <f t="shared" si="7"/>
        <v>43739</v>
      </c>
      <c r="K88" s="120" t="s">
        <v>64</v>
      </c>
      <c r="L88" s="120" t="s">
        <v>48</v>
      </c>
      <c r="M88" s="121">
        <v>220</v>
      </c>
      <c r="N88" s="142">
        <v>5528.39</v>
      </c>
      <c r="O88" s="142">
        <v>5670.45</v>
      </c>
      <c r="P88" s="150">
        <v>2.5696E-2</v>
      </c>
      <c r="Q88" s="124" t="s">
        <v>56</v>
      </c>
      <c r="R88" s="121">
        <v>220</v>
      </c>
      <c r="S88" s="143">
        <v>5091.32</v>
      </c>
      <c r="T88" s="142">
        <v>5227.07</v>
      </c>
      <c r="U88" s="145">
        <v>2.6662999999999999E-2</v>
      </c>
    </row>
    <row r="89" spans="2:21" x14ac:dyDescent="0.2">
      <c r="B89" s="170"/>
      <c r="C89" s="172"/>
      <c r="D89" s="172"/>
      <c r="E89" s="173"/>
      <c r="F89" s="171"/>
      <c r="G89" s="171"/>
      <c r="H89" s="174"/>
      <c r="I89" s="164"/>
      <c r="J89" s="117">
        <f t="shared" si="7"/>
        <v>43770</v>
      </c>
      <c r="K89" s="117" t="s">
        <v>64</v>
      </c>
      <c r="L89" s="117" t="s">
        <v>48</v>
      </c>
      <c r="M89" s="146">
        <v>220</v>
      </c>
      <c r="N89" s="159">
        <v>5528.39</v>
      </c>
      <c r="O89" s="159">
        <v>5705.57</v>
      </c>
      <c r="P89" s="161">
        <v>3.2049000000000001E-2</v>
      </c>
      <c r="Q89" s="148" t="s">
        <v>56</v>
      </c>
      <c r="R89" s="146">
        <v>220</v>
      </c>
      <c r="S89" s="160">
        <v>5091.32</v>
      </c>
      <c r="T89" s="159">
        <v>5261.02</v>
      </c>
      <c r="U89" s="162">
        <v>3.3331E-2</v>
      </c>
    </row>
    <row r="90" spans="2:21" x14ac:dyDescent="0.2">
      <c r="B90" s="170"/>
      <c r="C90" s="172"/>
      <c r="D90" s="172"/>
      <c r="E90" s="173"/>
      <c r="F90" s="171"/>
      <c r="G90" s="171"/>
      <c r="H90" s="174"/>
      <c r="I90" s="164"/>
      <c r="J90" s="64">
        <f t="shared" si="7"/>
        <v>43800</v>
      </c>
      <c r="K90" s="64" t="s">
        <v>64</v>
      </c>
      <c r="L90" s="64" t="s">
        <v>48</v>
      </c>
      <c r="M90" s="81">
        <v>220</v>
      </c>
      <c r="N90" s="66">
        <v>5528.39</v>
      </c>
      <c r="O90" s="66">
        <v>5747.21</v>
      </c>
      <c r="P90" s="67">
        <v>3.9580999999999998E-2</v>
      </c>
      <c r="Q90" s="65" t="s">
        <v>56</v>
      </c>
      <c r="R90" s="81">
        <v>220</v>
      </c>
      <c r="S90" s="68">
        <v>5091.32</v>
      </c>
      <c r="T90" s="66">
        <v>5299.07</v>
      </c>
      <c r="U90" s="90">
        <v>4.0805000000000001E-2</v>
      </c>
    </row>
    <row r="91" spans="2:21" x14ac:dyDescent="0.2">
      <c r="B91" s="170"/>
      <c r="C91" s="172"/>
      <c r="D91" s="172"/>
      <c r="E91" s="173"/>
      <c r="F91" s="171"/>
      <c r="G91" s="171"/>
      <c r="H91" s="174"/>
      <c r="I91" s="164"/>
      <c r="J91" s="2">
        <f t="shared" ref="J91:J118" si="9">+DATE(YEAR(J90),MONTH(J90)+1,1)</f>
        <v>43831</v>
      </c>
      <c r="K91" s="2" t="s">
        <v>64</v>
      </c>
      <c r="L91" s="2" t="s">
        <v>48</v>
      </c>
      <c r="M91" s="78">
        <v>220</v>
      </c>
      <c r="N91" s="107">
        <v>5528.39</v>
      </c>
      <c r="O91" s="107">
        <v>6024.89</v>
      </c>
      <c r="P91" s="109">
        <v>8.9809E-2</v>
      </c>
      <c r="Q91" s="31" t="s">
        <v>56</v>
      </c>
      <c r="R91" s="78">
        <v>220</v>
      </c>
      <c r="S91" s="110">
        <v>5091.32</v>
      </c>
      <c r="T91" s="107">
        <v>5566.62</v>
      </c>
      <c r="U91" s="108">
        <v>9.3354999999999994E-2</v>
      </c>
    </row>
    <row r="92" spans="2:21" x14ac:dyDescent="0.2">
      <c r="B92" s="170"/>
      <c r="C92" s="172"/>
      <c r="D92" s="172"/>
      <c r="E92" s="173"/>
      <c r="F92" s="171"/>
      <c r="G92" s="171"/>
      <c r="H92" s="174"/>
      <c r="I92" s="164"/>
      <c r="J92" s="175">
        <f t="shared" si="9"/>
        <v>43862</v>
      </c>
      <c r="K92" s="175" t="s">
        <v>64</v>
      </c>
      <c r="L92" s="175" t="s">
        <v>48</v>
      </c>
      <c r="M92" s="176">
        <v>220</v>
      </c>
      <c r="N92" s="177">
        <v>5528.39</v>
      </c>
      <c r="O92" s="177">
        <v>6003.75</v>
      </c>
      <c r="P92" s="178">
        <v>8.5985000000000006E-2</v>
      </c>
      <c r="Q92" s="179" t="s">
        <v>56</v>
      </c>
      <c r="R92" s="176">
        <v>220</v>
      </c>
      <c r="S92" s="151">
        <v>5091.32</v>
      </c>
      <c r="T92" s="177">
        <v>5545.98</v>
      </c>
      <c r="U92" s="180">
        <v>8.9301000000000005E-2</v>
      </c>
    </row>
    <row r="93" spans="2:21" ht="13.5" thickBot="1" x14ac:dyDescent="0.25">
      <c r="B93" s="170"/>
      <c r="C93" s="172"/>
      <c r="D93" s="172"/>
      <c r="E93" s="173"/>
      <c r="F93" s="171"/>
      <c r="G93" s="171"/>
      <c r="H93" s="174"/>
      <c r="I93" s="164"/>
      <c r="J93" s="117">
        <f t="shared" si="9"/>
        <v>43891</v>
      </c>
      <c r="K93" s="117" t="s">
        <v>64</v>
      </c>
      <c r="L93" s="117" t="s">
        <v>48</v>
      </c>
      <c r="M93" s="146">
        <v>220</v>
      </c>
      <c r="N93" s="159">
        <v>5528.39</v>
      </c>
      <c r="O93" s="159">
        <v>6031.6</v>
      </c>
      <c r="P93" s="161">
        <v>9.1023000000000007E-2</v>
      </c>
      <c r="Q93" s="148" t="s">
        <v>56</v>
      </c>
      <c r="R93" s="146">
        <v>220</v>
      </c>
      <c r="S93" s="160">
        <v>5091.32</v>
      </c>
      <c r="T93" s="159">
        <v>5571.23</v>
      </c>
      <c r="U93" s="162">
        <v>9.4259999999999997E-2</v>
      </c>
    </row>
    <row r="94" spans="2:21" x14ac:dyDescent="0.2">
      <c r="B94" s="170"/>
      <c r="C94" s="172"/>
      <c r="D94" s="172"/>
      <c r="E94" s="173"/>
      <c r="F94" s="171"/>
      <c r="G94" s="171"/>
      <c r="H94" s="174"/>
      <c r="I94" s="164"/>
      <c r="J94" s="120">
        <f t="shared" si="9"/>
        <v>43922</v>
      </c>
      <c r="K94" s="120" t="s">
        <v>69</v>
      </c>
      <c r="L94" s="120" t="s">
        <v>48</v>
      </c>
      <c r="M94" s="121">
        <v>220</v>
      </c>
      <c r="N94" s="142">
        <v>6017.18</v>
      </c>
      <c r="O94" s="142">
        <v>6152.9</v>
      </c>
      <c r="P94" s="150">
        <v>2.2554999999999999E-2</v>
      </c>
      <c r="Q94" s="124" t="s">
        <v>56</v>
      </c>
      <c r="R94" s="121">
        <v>220</v>
      </c>
      <c r="S94" s="143">
        <v>5560.11</v>
      </c>
      <c r="T94" s="142">
        <v>5688.11</v>
      </c>
      <c r="U94" s="145">
        <v>2.3021E-2</v>
      </c>
    </row>
    <row r="95" spans="2:21" x14ac:dyDescent="0.2">
      <c r="B95" s="170"/>
      <c r="C95" s="172"/>
      <c r="D95" s="172"/>
      <c r="E95" s="173"/>
      <c r="F95" s="171"/>
      <c r="G95" s="171"/>
      <c r="H95" s="174"/>
      <c r="I95" s="164"/>
      <c r="J95" s="181">
        <f t="shared" si="9"/>
        <v>43952</v>
      </c>
      <c r="K95" s="181" t="s">
        <v>69</v>
      </c>
      <c r="L95" s="181" t="s">
        <v>48</v>
      </c>
      <c r="M95" s="185">
        <v>220</v>
      </c>
      <c r="N95" s="182">
        <v>6017.18</v>
      </c>
      <c r="O95" s="182">
        <v>6360.41</v>
      </c>
      <c r="P95" s="186">
        <v>5.7042000000000002E-2</v>
      </c>
      <c r="Q95" s="187" t="s">
        <v>56</v>
      </c>
      <c r="R95" s="185">
        <v>220</v>
      </c>
      <c r="S95" s="188">
        <v>5560.11</v>
      </c>
      <c r="T95" s="182">
        <v>5888.02</v>
      </c>
      <c r="U95" s="189">
        <v>5.8975E-2</v>
      </c>
    </row>
    <row r="96" spans="2:21" x14ac:dyDescent="0.2">
      <c r="B96" s="170"/>
      <c r="C96" s="172"/>
      <c r="D96" s="172"/>
      <c r="E96" s="173"/>
      <c r="F96" s="171"/>
      <c r="G96" s="171"/>
      <c r="H96" s="174"/>
      <c r="I96" s="164"/>
      <c r="J96" s="64">
        <f t="shared" si="9"/>
        <v>43983</v>
      </c>
      <c r="K96" s="64" t="s">
        <v>69</v>
      </c>
      <c r="L96" s="64" t="s">
        <v>48</v>
      </c>
      <c r="M96" s="81">
        <v>220</v>
      </c>
      <c r="N96" s="66">
        <v>6017.18</v>
      </c>
      <c r="O96" s="66">
        <v>6437.01</v>
      </c>
      <c r="P96" s="67">
        <v>6.9772000000000001E-2</v>
      </c>
      <c r="Q96" s="65" t="s">
        <v>56</v>
      </c>
      <c r="R96" s="81">
        <v>220</v>
      </c>
      <c r="S96" s="68">
        <v>5560.11</v>
      </c>
      <c r="T96" s="66">
        <v>5962.23</v>
      </c>
      <c r="U96" s="90">
        <v>7.2321999999999997E-2</v>
      </c>
    </row>
    <row r="97" spans="2:23" x14ac:dyDescent="0.2">
      <c r="B97" s="170"/>
      <c r="C97" s="172"/>
      <c r="D97" s="172"/>
      <c r="E97" s="173"/>
      <c r="F97" s="171"/>
      <c r="G97" s="171"/>
      <c r="H97" s="174"/>
      <c r="I97" s="164"/>
      <c r="J97" s="2">
        <f t="shared" si="9"/>
        <v>44013</v>
      </c>
      <c r="K97" s="2" t="s">
        <v>69</v>
      </c>
      <c r="L97" s="2" t="s">
        <v>48</v>
      </c>
      <c r="M97" s="78">
        <v>220</v>
      </c>
      <c r="N97" s="107">
        <v>6017.18</v>
      </c>
      <c r="O97" s="107">
        <v>6300.51</v>
      </c>
      <c r="P97" s="109">
        <v>4.7086999999999997E-2</v>
      </c>
      <c r="Q97" s="31" t="s">
        <v>56</v>
      </c>
      <c r="R97" s="78">
        <v>220</v>
      </c>
      <c r="S97" s="110">
        <v>5560.11</v>
      </c>
      <c r="T97" s="107">
        <v>5830.21</v>
      </c>
      <c r="U97" s="108">
        <v>4.8578000000000003E-2</v>
      </c>
    </row>
    <row r="98" spans="2:23" x14ac:dyDescent="0.2">
      <c r="B98" s="170"/>
      <c r="C98" s="172"/>
      <c r="D98" s="172"/>
      <c r="E98" s="173"/>
      <c r="F98" s="171"/>
      <c r="G98" s="171"/>
      <c r="H98" s="174"/>
      <c r="I98" s="164"/>
      <c r="J98" s="64">
        <f t="shared" si="9"/>
        <v>44044</v>
      </c>
      <c r="K98" s="64" t="s">
        <v>69</v>
      </c>
      <c r="L98" s="64" t="s">
        <v>48</v>
      </c>
      <c r="M98" s="81">
        <v>220</v>
      </c>
      <c r="N98" s="66">
        <v>6017.18</v>
      </c>
      <c r="O98" s="66">
        <v>6182.95</v>
      </c>
      <c r="P98" s="67">
        <v>2.7549000000000001E-2</v>
      </c>
      <c r="Q98" s="65" t="s">
        <v>56</v>
      </c>
      <c r="R98" s="81">
        <v>220</v>
      </c>
      <c r="S98" s="68">
        <v>5560.11</v>
      </c>
      <c r="T98" s="66">
        <v>5716.58</v>
      </c>
      <c r="U98" s="90">
        <v>2.8142E-2</v>
      </c>
    </row>
    <row r="99" spans="2:23" ht="13.5" thickBot="1" x14ac:dyDescent="0.25">
      <c r="B99" s="170"/>
      <c r="C99" s="172"/>
      <c r="D99" s="172"/>
      <c r="E99" s="173"/>
      <c r="F99" s="171"/>
      <c r="G99" s="171"/>
      <c r="H99" s="174"/>
      <c r="I99" s="164"/>
      <c r="J99" s="91">
        <f t="shared" si="9"/>
        <v>44075</v>
      </c>
      <c r="K99" s="91" t="s">
        <v>69</v>
      </c>
      <c r="L99" s="91" t="s">
        <v>48</v>
      </c>
      <c r="M99" s="93">
        <v>220</v>
      </c>
      <c r="N99" s="190">
        <v>6017.18</v>
      </c>
      <c r="O99" s="190">
        <v>6142.69</v>
      </c>
      <c r="P99" s="191">
        <v>2.0858999999999999E-2</v>
      </c>
      <c r="Q99" s="96" t="s">
        <v>56</v>
      </c>
      <c r="R99" s="93">
        <v>220</v>
      </c>
      <c r="S99" s="192">
        <v>5560.11</v>
      </c>
      <c r="T99" s="190">
        <v>5677.03</v>
      </c>
      <c r="U99" s="193">
        <v>2.1028000000000002E-2</v>
      </c>
    </row>
    <row r="100" spans="2:23" x14ac:dyDescent="0.2">
      <c r="B100" s="170"/>
      <c r="C100" s="172"/>
      <c r="D100" s="172"/>
      <c r="E100" s="173"/>
      <c r="F100" s="171"/>
      <c r="G100" s="171"/>
      <c r="H100" s="174"/>
      <c r="I100" s="164"/>
      <c r="J100" s="175">
        <f t="shared" si="9"/>
        <v>44105</v>
      </c>
      <c r="K100" s="175" t="s">
        <v>70</v>
      </c>
      <c r="L100" s="175" t="s">
        <v>48</v>
      </c>
      <c r="M100" s="176">
        <v>220</v>
      </c>
      <c r="N100" s="177">
        <v>6303.36</v>
      </c>
      <c r="O100" s="177">
        <v>6146.19</v>
      </c>
      <c r="P100" s="178">
        <v>-2.4934000000000001E-2</v>
      </c>
      <c r="Q100" s="179" t="s">
        <v>56</v>
      </c>
      <c r="R100" s="176">
        <v>220</v>
      </c>
      <c r="S100" s="151">
        <v>5832.88</v>
      </c>
      <c r="T100" s="177">
        <v>5679.37</v>
      </c>
      <c r="U100" s="180">
        <v>-2.6318000000000001E-2</v>
      </c>
      <c r="W100" s="10"/>
    </row>
    <row r="101" spans="2:23" x14ac:dyDescent="0.2">
      <c r="B101" s="170"/>
      <c r="C101" s="172"/>
      <c r="D101" s="172"/>
      <c r="E101" s="173"/>
      <c r="F101" s="171"/>
      <c r="G101" s="171"/>
      <c r="H101" s="174"/>
      <c r="I101" s="164"/>
      <c r="J101" s="117">
        <f t="shared" si="9"/>
        <v>44136</v>
      </c>
      <c r="K101" s="117" t="s">
        <v>70</v>
      </c>
      <c r="L101" s="117" t="s">
        <v>48</v>
      </c>
      <c r="M101" s="146">
        <v>220</v>
      </c>
      <c r="N101" s="159">
        <v>6303.36</v>
      </c>
      <c r="O101" s="159">
        <v>6086.45</v>
      </c>
      <c r="P101" s="161">
        <v>-3.4411999999999998E-2</v>
      </c>
      <c r="Q101" s="148" t="s">
        <v>56</v>
      </c>
      <c r="R101" s="146">
        <v>220</v>
      </c>
      <c r="S101" s="160">
        <v>5832.88</v>
      </c>
      <c r="T101" s="159">
        <v>5618.98</v>
      </c>
      <c r="U101" s="162">
        <v>-3.6671000000000002E-2</v>
      </c>
    </row>
    <row r="102" spans="2:23" x14ac:dyDescent="0.2">
      <c r="B102" s="170"/>
      <c r="C102" s="172"/>
      <c r="D102" s="172"/>
      <c r="E102" s="173"/>
      <c r="F102" s="171"/>
      <c r="G102" s="171"/>
      <c r="H102" s="174"/>
      <c r="I102" s="164"/>
      <c r="J102" s="64">
        <f t="shared" si="9"/>
        <v>44166</v>
      </c>
      <c r="K102" s="64" t="s">
        <v>70</v>
      </c>
      <c r="L102" s="64" t="s">
        <v>48</v>
      </c>
      <c r="M102" s="81">
        <v>220</v>
      </c>
      <c r="N102" s="66">
        <v>6303.36</v>
      </c>
      <c r="O102" s="66">
        <v>6189.48</v>
      </c>
      <c r="P102" s="67">
        <v>-1.8067E-2</v>
      </c>
      <c r="Q102" s="65" t="s">
        <v>56</v>
      </c>
      <c r="R102" s="81">
        <v>220</v>
      </c>
      <c r="S102" s="68">
        <v>5832.88</v>
      </c>
      <c r="T102" s="66">
        <v>5717.14</v>
      </c>
      <c r="U102" s="90">
        <v>-1.9843E-2</v>
      </c>
    </row>
    <row r="103" spans="2:23" x14ac:dyDescent="0.2">
      <c r="B103" s="170"/>
      <c r="C103" s="172"/>
      <c r="D103" s="172"/>
      <c r="E103" s="173"/>
      <c r="F103" s="171"/>
      <c r="G103" s="171"/>
      <c r="H103" s="174"/>
      <c r="I103" s="164"/>
      <c r="J103" s="117">
        <f t="shared" si="9"/>
        <v>44197</v>
      </c>
      <c r="K103" s="117" t="s">
        <v>70</v>
      </c>
      <c r="L103" s="117" t="s">
        <v>48</v>
      </c>
      <c r="M103" s="146">
        <v>220</v>
      </c>
      <c r="N103" s="159">
        <v>6303.36</v>
      </c>
      <c r="O103" s="159">
        <v>6094.17</v>
      </c>
      <c r="P103" s="161">
        <v>-3.3187000000000001E-2</v>
      </c>
      <c r="Q103" s="148" t="s">
        <v>56</v>
      </c>
      <c r="R103" s="146">
        <v>220</v>
      </c>
      <c r="S103" s="160">
        <v>5832.88</v>
      </c>
      <c r="T103" s="159">
        <v>5625.37</v>
      </c>
      <c r="U103" s="162">
        <v>-3.5576000000000003E-2</v>
      </c>
      <c r="W103" s="209"/>
    </row>
    <row r="104" spans="2:23" x14ac:dyDescent="0.2">
      <c r="B104" s="170"/>
      <c r="C104" s="172"/>
      <c r="D104" s="172"/>
      <c r="E104" s="173"/>
      <c r="F104" s="171"/>
      <c r="G104" s="171"/>
      <c r="H104" s="174"/>
      <c r="I104" s="164"/>
      <c r="J104" s="64">
        <f t="shared" si="9"/>
        <v>44228</v>
      </c>
      <c r="K104" s="64" t="s">
        <v>70</v>
      </c>
      <c r="L104" s="64" t="s">
        <v>48</v>
      </c>
      <c r="M104" s="81">
        <v>220</v>
      </c>
      <c r="N104" s="66">
        <v>6303.36</v>
      </c>
      <c r="O104" s="66">
        <v>5978.27</v>
      </c>
      <c r="P104" s="67">
        <v>-5.1574000000000002E-2</v>
      </c>
      <c r="Q104" s="65" t="s">
        <v>56</v>
      </c>
      <c r="R104" s="81">
        <v>220</v>
      </c>
      <c r="S104" s="68">
        <v>5832.88</v>
      </c>
      <c r="T104" s="66">
        <v>5512.39</v>
      </c>
      <c r="U104" s="90">
        <v>-5.4945000000000001E-2</v>
      </c>
    </row>
    <row r="105" spans="2:23" ht="13.5" thickBot="1" x14ac:dyDescent="0.25">
      <c r="B105" s="170"/>
      <c r="C105" s="172"/>
      <c r="D105" s="172"/>
      <c r="E105" s="173"/>
      <c r="F105" s="171"/>
      <c r="G105" s="171"/>
      <c r="H105" s="174"/>
      <c r="I105" s="164"/>
      <c r="J105" s="117">
        <f t="shared" si="9"/>
        <v>44256</v>
      </c>
      <c r="K105" s="117" t="s">
        <v>70</v>
      </c>
      <c r="L105" s="117" t="s">
        <v>48</v>
      </c>
      <c r="M105" s="146">
        <v>220</v>
      </c>
      <c r="N105" s="159">
        <v>6303.36</v>
      </c>
      <c r="O105" s="159">
        <v>5938.3</v>
      </c>
      <c r="P105" s="161">
        <v>-5.7915000000000001E-2</v>
      </c>
      <c r="Q105" s="148" t="s">
        <v>56</v>
      </c>
      <c r="R105" s="146">
        <v>220</v>
      </c>
      <c r="S105" s="160">
        <v>5832.88</v>
      </c>
      <c r="T105" s="159">
        <v>5471.93</v>
      </c>
      <c r="U105" s="162">
        <v>-6.1882E-2</v>
      </c>
    </row>
    <row r="106" spans="2:23" x14ac:dyDescent="0.2">
      <c r="B106" s="170"/>
      <c r="C106" s="172"/>
      <c r="D106" s="172"/>
      <c r="E106" s="173"/>
      <c r="F106" s="171"/>
      <c r="G106" s="171"/>
      <c r="H106" s="174"/>
      <c r="I106" s="163"/>
      <c r="J106" s="144">
        <f t="shared" si="9"/>
        <v>44287</v>
      </c>
      <c r="K106" s="144" t="s">
        <v>75</v>
      </c>
      <c r="L106" s="144" t="s">
        <v>48</v>
      </c>
      <c r="M106" s="155">
        <v>220</v>
      </c>
      <c r="N106" s="153">
        <v>6086.33</v>
      </c>
      <c r="O106" s="153">
        <v>5933.12</v>
      </c>
      <c r="P106" s="156">
        <v>-2.5173000000000001E-2</v>
      </c>
      <c r="Q106" s="157" t="s">
        <v>56</v>
      </c>
      <c r="R106" s="155">
        <v>220</v>
      </c>
      <c r="S106" s="158">
        <v>5618.31</v>
      </c>
      <c r="T106" s="153">
        <v>5467.38</v>
      </c>
      <c r="U106" s="154">
        <v>-2.6863999999999999E-2</v>
      </c>
    </row>
    <row r="107" spans="2:23" x14ac:dyDescent="0.2">
      <c r="B107" s="170"/>
      <c r="C107" s="172"/>
      <c r="D107" s="172"/>
      <c r="E107" s="173"/>
      <c r="F107" s="171"/>
      <c r="G107" s="171"/>
      <c r="H107" s="174"/>
      <c r="I107" s="163"/>
      <c r="J107" s="194">
        <f t="shared" si="9"/>
        <v>44317</v>
      </c>
      <c r="K107" s="194" t="s">
        <v>75</v>
      </c>
      <c r="L107" s="194" t="s">
        <v>48</v>
      </c>
      <c r="M107" s="197">
        <v>220</v>
      </c>
      <c r="N107" s="195">
        <v>6086.33</v>
      </c>
      <c r="O107" s="195">
        <v>5966.98</v>
      </c>
      <c r="P107" s="198">
        <v>-1.9609999999999999E-2</v>
      </c>
      <c r="Q107" s="199" t="s">
        <v>56</v>
      </c>
      <c r="R107" s="197">
        <v>220</v>
      </c>
      <c r="S107" s="200">
        <v>5618.31</v>
      </c>
      <c r="T107" s="195">
        <v>5499.19</v>
      </c>
      <c r="U107" s="201">
        <v>-2.1201999999999999E-2</v>
      </c>
    </row>
    <row r="108" spans="2:23" x14ac:dyDescent="0.2">
      <c r="B108" s="170"/>
      <c r="C108" s="172"/>
      <c r="D108" s="172"/>
      <c r="E108" s="173"/>
      <c r="F108" s="171"/>
      <c r="G108" s="171"/>
      <c r="H108" s="174"/>
      <c r="I108" s="164"/>
      <c r="J108" s="64">
        <f t="shared" si="9"/>
        <v>44348</v>
      </c>
      <c r="K108" s="64" t="s">
        <v>75</v>
      </c>
      <c r="L108" s="64" t="s">
        <v>48</v>
      </c>
      <c r="M108" s="81">
        <v>220</v>
      </c>
      <c r="N108" s="66">
        <v>6086.33</v>
      </c>
      <c r="O108" s="66">
        <v>5897.02</v>
      </c>
      <c r="P108" s="67">
        <v>-3.1104E-2</v>
      </c>
      <c r="Q108" s="65" t="s">
        <v>56</v>
      </c>
      <c r="R108" s="81">
        <v>220</v>
      </c>
      <c r="S108" s="68">
        <v>5618.31</v>
      </c>
      <c r="T108" s="66">
        <v>5430.68</v>
      </c>
      <c r="U108" s="90">
        <v>-3.3396000000000002E-2</v>
      </c>
    </row>
    <row r="109" spans="2:23" x14ac:dyDescent="0.2">
      <c r="B109" s="170"/>
      <c r="C109" s="172"/>
      <c r="D109" s="172"/>
      <c r="E109" s="173"/>
      <c r="F109" s="171"/>
      <c r="G109" s="171"/>
      <c r="H109" s="174"/>
      <c r="I109" s="164"/>
      <c r="J109" s="117">
        <f t="shared" si="9"/>
        <v>44378</v>
      </c>
      <c r="K109" s="117" t="s">
        <v>75</v>
      </c>
      <c r="L109" s="117" t="s">
        <v>48</v>
      </c>
      <c r="M109" s="146">
        <v>220</v>
      </c>
      <c r="N109" s="159">
        <v>6086.33</v>
      </c>
      <c r="O109" s="159">
        <v>5936.22</v>
      </c>
      <c r="P109" s="161">
        <v>-2.4663000000000001E-2</v>
      </c>
      <c r="Q109" s="148" t="s">
        <v>56</v>
      </c>
      <c r="R109" s="146">
        <v>220</v>
      </c>
      <c r="S109" s="160">
        <v>5618.31</v>
      </c>
      <c r="T109" s="159">
        <v>5468.04</v>
      </c>
      <c r="U109" s="162">
        <v>-2.6745999999999999E-2</v>
      </c>
    </row>
    <row r="110" spans="2:23" x14ac:dyDescent="0.2">
      <c r="B110" s="170"/>
      <c r="C110" s="172"/>
      <c r="D110" s="172"/>
      <c r="E110" s="173"/>
      <c r="F110" s="171"/>
      <c r="G110" s="171"/>
      <c r="H110" s="174"/>
      <c r="I110" s="164"/>
      <c r="J110" s="64">
        <f t="shared" si="9"/>
        <v>44409</v>
      </c>
      <c r="K110" s="64" t="s">
        <v>75</v>
      </c>
      <c r="L110" s="64" t="s">
        <v>48</v>
      </c>
      <c r="M110" s="81">
        <v>220</v>
      </c>
      <c r="N110" s="66">
        <v>6086.33</v>
      </c>
      <c r="O110" s="66">
        <v>6024.6</v>
      </c>
      <c r="P110" s="67">
        <v>-1.0142E-2</v>
      </c>
      <c r="Q110" s="65" t="s">
        <v>56</v>
      </c>
      <c r="R110" s="81">
        <v>220</v>
      </c>
      <c r="S110" s="68">
        <v>5618.31</v>
      </c>
      <c r="T110" s="66">
        <v>5553.68</v>
      </c>
      <c r="U110" s="90">
        <v>-1.1502999999999999E-2</v>
      </c>
    </row>
    <row r="111" spans="2:23" ht="13.5" thickBot="1" x14ac:dyDescent="0.25">
      <c r="B111" s="170"/>
      <c r="C111" s="172"/>
      <c r="D111" s="172"/>
      <c r="E111" s="173"/>
      <c r="F111" s="171"/>
      <c r="G111" s="171"/>
      <c r="H111" s="174"/>
      <c r="I111" s="164"/>
      <c r="J111" s="237">
        <f t="shared" si="9"/>
        <v>44440</v>
      </c>
      <c r="K111" s="237" t="s">
        <v>75</v>
      </c>
      <c r="L111" s="237" t="s">
        <v>48</v>
      </c>
      <c r="M111" s="238">
        <v>220</v>
      </c>
      <c r="N111" s="239">
        <v>6086.33</v>
      </c>
      <c r="O111" s="239">
        <v>6186.09</v>
      </c>
      <c r="P111" s="240">
        <v>1.6390999999999999E-2</v>
      </c>
      <c r="Q111" s="241" t="s">
        <v>56</v>
      </c>
      <c r="R111" s="238">
        <v>220</v>
      </c>
      <c r="S111" s="242">
        <v>5618.31</v>
      </c>
      <c r="T111" s="239">
        <v>5708.21</v>
      </c>
      <c r="U111" s="243">
        <v>1.6001000000000001E-2</v>
      </c>
    </row>
    <row r="112" spans="2:23" x14ac:dyDescent="0.2">
      <c r="B112" s="170"/>
      <c r="C112" s="172"/>
      <c r="D112" s="172"/>
      <c r="E112" s="173"/>
      <c r="F112" s="171"/>
      <c r="G112" s="171"/>
      <c r="H112" s="174"/>
      <c r="I112" s="164"/>
      <c r="J112" s="144">
        <f t="shared" si="9"/>
        <v>44470</v>
      </c>
      <c r="K112" s="144" t="s">
        <v>75</v>
      </c>
      <c r="L112" s="144" t="s">
        <v>48</v>
      </c>
      <c r="M112" s="155">
        <v>220</v>
      </c>
      <c r="N112" s="153">
        <v>6086.33</v>
      </c>
      <c r="O112" s="153">
        <v>6360.6</v>
      </c>
      <c r="P112" s="156">
        <v>4.5062999999999999E-2</v>
      </c>
      <c r="Q112" s="157" t="s">
        <v>56</v>
      </c>
      <c r="R112" s="155">
        <v>220</v>
      </c>
      <c r="S112" s="158">
        <v>5618.31</v>
      </c>
      <c r="T112" s="153">
        <v>5876.43</v>
      </c>
      <c r="U112" s="154">
        <v>4.5942999999999998E-2</v>
      </c>
    </row>
    <row r="113" spans="2:21" x14ac:dyDescent="0.2">
      <c r="B113" s="170"/>
      <c r="C113" s="172"/>
      <c r="D113" s="172"/>
      <c r="E113" s="173"/>
      <c r="F113" s="171"/>
      <c r="G113" s="171"/>
      <c r="H113" s="174"/>
      <c r="I113" s="164"/>
      <c r="J113" s="194">
        <f t="shared" si="9"/>
        <v>44501</v>
      </c>
      <c r="K113" s="194" t="s">
        <v>75</v>
      </c>
      <c r="L113" s="194" t="s">
        <v>48</v>
      </c>
      <c r="M113" s="197">
        <v>220</v>
      </c>
      <c r="N113" s="195">
        <v>6086.33</v>
      </c>
      <c r="O113" s="195">
        <v>6420.97</v>
      </c>
      <c r="P113" s="198">
        <v>5.4982000000000003E-2</v>
      </c>
      <c r="Q113" s="199" t="s">
        <v>56</v>
      </c>
      <c r="R113" s="197">
        <v>220</v>
      </c>
      <c r="S113" s="200">
        <v>5618.31</v>
      </c>
      <c r="T113" s="195">
        <v>5931.88</v>
      </c>
      <c r="U113" s="201">
        <v>5.5812E-2</v>
      </c>
    </row>
    <row r="114" spans="2:21" x14ac:dyDescent="0.2">
      <c r="B114" s="170"/>
      <c r="C114" s="172"/>
      <c r="D114" s="172"/>
      <c r="E114" s="173"/>
      <c r="F114" s="171"/>
      <c r="G114" s="171"/>
      <c r="H114" s="174"/>
      <c r="I114" s="164"/>
      <c r="J114" s="175">
        <f t="shared" si="9"/>
        <v>44531</v>
      </c>
      <c r="K114" s="175" t="s">
        <v>75</v>
      </c>
      <c r="L114" s="175" t="s">
        <v>48</v>
      </c>
      <c r="M114" s="176">
        <v>220</v>
      </c>
      <c r="N114" s="177">
        <v>6086.33</v>
      </c>
      <c r="O114" s="177">
        <v>6660.98</v>
      </c>
      <c r="P114" s="178">
        <v>9.4417000000000001E-2</v>
      </c>
      <c r="Q114" s="179" t="s">
        <v>56</v>
      </c>
      <c r="R114" s="176">
        <v>220</v>
      </c>
      <c r="S114" s="151">
        <v>5618.31</v>
      </c>
      <c r="T114" s="177">
        <v>6160.86</v>
      </c>
      <c r="U114" s="180">
        <v>9.6568000000000001E-2</v>
      </c>
    </row>
    <row r="115" spans="2:21" x14ac:dyDescent="0.2">
      <c r="B115" s="170"/>
      <c r="C115" s="172"/>
      <c r="D115" s="172"/>
      <c r="E115" s="173"/>
      <c r="F115" s="171"/>
      <c r="G115" s="171"/>
      <c r="H115" s="174"/>
      <c r="I115" s="164"/>
      <c r="J115" s="183">
        <f t="shared" si="9"/>
        <v>44562</v>
      </c>
      <c r="K115" s="183" t="s">
        <v>75</v>
      </c>
      <c r="L115" s="183" t="s">
        <v>48</v>
      </c>
      <c r="M115" s="204">
        <v>220</v>
      </c>
      <c r="N115" s="184">
        <v>6086.33</v>
      </c>
      <c r="O115" s="184">
        <v>6674.2</v>
      </c>
      <c r="P115" s="205">
        <v>9.6588999999999994E-2</v>
      </c>
      <c r="Q115" s="206" t="s">
        <v>56</v>
      </c>
      <c r="R115" s="204">
        <v>220</v>
      </c>
      <c r="S115" s="207">
        <v>5618.31</v>
      </c>
      <c r="T115" s="184">
        <v>6172.7</v>
      </c>
      <c r="U115" s="208">
        <v>9.8676E-2</v>
      </c>
    </row>
    <row r="116" spans="2:21" x14ac:dyDescent="0.2">
      <c r="B116" s="170"/>
      <c r="C116" s="172"/>
      <c r="D116" s="172"/>
      <c r="E116" s="173"/>
      <c r="F116" s="171"/>
      <c r="G116" s="171"/>
      <c r="H116" s="174"/>
      <c r="I116" s="164"/>
      <c r="J116" s="64">
        <f t="shared" si="9"/>
        <v>44593</v>
      </c>
      <c r="K116" s="259" t="s">
        <v>75</v>
      </c>
      <c r="L116" s="64" t="s">
        <v>48</v>
      </c>
      <c r="M116" s="81">
        <v>220</v>
      </c>
      <c r="N116" s="66">
        <v>6086.33</v>
      </c>
      <c r="O116" s="66">
        <v>6894.69</v>
      </c>
      <c r="P116" s="67">
        <v>0.13281599999999999</v>
      </c>
      <c r="Q116" s="65" t="s">
        <v>56</v>
      </c>
      <c r="R116" s="81">
        <v>220</v>
      </c>
      <c r="S116" s="68">
        <v>5618.31</v>
      </c>
      <c r="T116" s="66">
        <v>6384.16</v>
      </c>
      <c r="U116" s="90">
        <v>0.13631299999999999</v>
      </c>
    </row>
    <row r="117" spans="2:21" ht="13.5" thickBot="1" x14ac:dyDescent="0.25">
      <c r="H117"/>
      <c r="I117"/>
      <c r="J117" s="237">
        <v>44621</v>
      </c>
      <c r="K117" s="237" t="s">
        <v>122</v>
      </c>
      <c r="L117" s="237" t="s">
        <v>48</v>
      </c>
      <c r="M117" s="238">
        <v>220</v>
      </c>
      <c r="N117" s="239">
        <f>+Indexacion!N10</f>
        <v>6641.26</v>
      </c>
      <c r="O117" s="239">
        <f>+Indexacion!M10</f>
        <v>6641.26</v>
      </c>
      <c r="P117" s="240">
        <f t="shared" ref="P117:P122" si="10">+O117/N117-1</f>
        <v>0</v>
      </c>
      <c r="Q117" s="241" t="s">
        <v>56</v>
      </c>
      <c r="R117" s="238">
        <v>220</v>
      </c>
      <c r="S117" s="242">
        <f>+Indexacion!V10</f>
        <v>6221.93</v>
      </c>
      <c r="T117" s="239">
        <f>+Indexacion!U10</f>
        <v>6221.93</v>
      </c>
      <c r="U117" s="243">
        <f t="shared" ref="U117:U122" si="11">+T117/S117-1</f>
        <v>0</v>
      </c>
    </row>
    <row r="118" spans="2:21" x14ac:dyDescent="0.2">
      <c r="H118"/>
      <c r="I118"/>
      <c r="J118" s="144">
        <f t="shared" si="9"/>
        <v>44652</v>
      </c>
      <c r="K118" s="144" t="s">
        <v>125</v>
      </c>
      <c r="L118" s="144" t="s">
        <v>48</v>
      </c>
      <c r="M118" s="155">
        <v>220</v>
      </c>
      <c r="N118" s="153">
        <f>+Indexacion!N11</f>
        <v>6531.51</v>
      </c>
      <c r="O118" s="153">
        <f>+Indexacion!M11</f>
        <v>6604.98</v>
      </c>
      <c r="P118" s="156">
        <f t="shared" si="10"/>
        <v>1.1248547426245814E-2</v>
      </c>
      <c r="Q118" s="157" t="s">
        <v>56</v>
      </c>
      <c r="R118" s="155">
        <v>220</v>
      </c>
      <c r="S118" s="158">
        <f>+Indexacion!V11</f>
        <v>6119.19</v>
      </c>
      <c r="T118" s="153">
        <f>+Indexacion!U11</f>
        <v>6185.95</v>
      </c>
      <c r="U118" s="154">
        <f t="shared" si="11"/>
        <v>1.0909940694765252E-2</v>
      </c>
    </row>
    <row r="119" spans="2:21" x14ac:dyDescent="0.2">
      <c r="J119" s="183">
        <v>44682</v>
      </c>
      <c r="K119" s="183" t="s">
        <v>125</v>
      </c>
      <c r="L119" s="183" t="s">
        <v>48</v>
      </c>
      <c r="M119" s="204">
        <v>220</v>
      </c>
      <c r="N119" s="184">
        <f>+Indexacion!N12</f>
        <v>6531.51</v>
      </c>
      <c r="O119" s="184">
        <f>+Indexacion!M12</f>
        <v>6632.48</v>
      </c>
      <c r="P119" s="205">
        <f t="shared" si="10"/>
        <v>1.5458906133497319E-2</v>
      </c>
      <c r="Q119" s="206" t="s">
        <v>56</v>
      </c>
      <c r="R119" s="204">
        <v>220</v>
      </c>
      <c r="S119" s="207">
        <f>+Indexacion!V12</f>
        <v>6119.19</v>
      </c>
      <c r="T119" s="184">
        <f>+Indexacion!U12</f>
        <v>6208.83</v>
      </c>
      <c r="U119" s="208">
        <f t="shared" si="11"/>
        <v>1.4648997661455221E-2</v>
      </c>
    </row>
    <row r="120" spans="2:21" x14ac:dyDescent="0.2">
      <c r="J120" s="64">
        <v>44713</v>
      </c>
      <c r="K120" s="259" t="s">
        <v>125</v>
      </c>
      <c r="L120" s="64" t="s">
        <v>48</v>
      </c>
      <c r="M120" s="81">
        <v>220</v>
      </c>
      <c r="N120" s="66">
        <f>+Indexacion!N13</f>
        <v>6531.51</v>
      </c>
      <c r="O120" s="66">
        <f>+Indexacion!M13</f>
        <v>6762.89</v>
      </c>
      <c r="P120" s="67">
        <f t="shared" si="10"/>
        <v>3.5425192643048886E-2</v>
      </c>
      <c r="Q120" s="65" t="s">
        <v>56</v>
      </c>
      <c r="R120" s="81">
        <v>220</v>
      </c>
      <c r="S120" s="68">
        <f>+Indexacion!V13</f>
        <v>6119.19</v>
      </c>
      <c r="T120" s="66">
        <f>+Indexacion!U13</f>
        <v>6332.67</v>
      </c>
      <c r="U120" s="90">
        <f t="shared" si="11"/>
        <v>3.4886970334309098E-2</v>
      </c>
    </row>
    <row r="121" spans="2:21" x14ac:dyDescent="0.2">
      <c r="J121" s="194">
        <v>44743</v>
      </c>
      <c r="K121" s="194" t="s">
        <v>125</v>
      </c>
      <c r="L121" s="194" t="s">
        <v>48</v>
      </c>
      <c r="M121" s="197">
        <v>220</v>
      </c>
      <c r="N121" s="195">
        <f>+Indexacion!N14</f>
        <v>6531.51</v>
      </c>
      <c r="O121" s="195">
        <f>+Indexacion!M14</f>
        <v>6974.26</v>
      </c>
      <c r="P121" s="198">
        <f t="shared" si="10"/>
        <v>6.7786775186748471E-2</v>
      </c>
      <c r="Q121" s="199" t="s">
        <v>56</v>
      </c>
      <c r="R121" s="197">
        <v>220</v>
      </c>
      <c r="S121" s="200">
        <f>+Indexacion!V14</f>
        <v>6119.19</v>
      </c>
      <c r="T121" s="195">
        <f>+Indexacion!U14</f>
        <v>6534.95</v>
      </c>
      <c r="U121" s="201">
        <f t="shared" si="11"/>
        <v>6.7943633062545805E-2</v>
      </c>
    </row>
    <row r="122" spans="2:21" x14ac:dyDescent="0.2">
      <c r="J122" s="38">
        <v>44774</v>
      </c>
      <c r="K122" s="38" t="s">
        <v>125</v>
      </c>
      <c r="L122" s="38" t="s">
        <v>48</v>
      </c>
      <c r="M122" s="77">
        <v>220</v>
      </c>
      <c r="N122" s="35">
        <f>+Indexacion!N15</f>
        <v>6531.51</v>
      </c>
      <c r="O122" s="35">
        <f>+Indexacion!M15</f>
        <v>7093.33</v>
      </c>
      <c r="P122" s="42">
        <f t="shared" si="10"/>
        <v>8.6016862869382482E-2</v>
      </c>
      <c r="Q122" s="37" t="s">
        <v>56</v>
      </c>
      <c r="R122" s="77">
        <v>220</v>
      </c>
      <c r="S122" s="36">
        <f>+Indexacion!V15</f>
        <v>6119.19</v>
      </c>
      <c r="T122" s="35">
        <f>+Indexacion!U15</f>
        <v>6648.92</v>
      </c>
      <c r="U122" s="84">
        <f t="shared" si="11"/>
        <v>8.6568647157548639E-2</v>
      </c>
    </row>
    <row r="123" spans="2:21" ht="13.5" thickBot="1" x14ac:dyDescent="0.25">
      <c r="J123" s="237">
        <v>44805</v>
      </c>
      <c r="K123" s="237" t="s">
        <v>126</v>
      </c>
      <c r="L123" s="237" t="s">
        <v>48</v>
      </c>
      <c r="M123" s="238">
        <v>220</v>
      </c>
      <c r="N123" s="239">
        <f>+Indexacion!N16</f>
        <v>7641.7</v>
      </c>
      <c r="O123" s="239">
        <f>+Indexacion!M16</f>
        <v>7641.7</v>
      </c>
      <c r="P123" s="240">
        <f t="shared" ref="P123" si="12">+O123/N123-1</f>
        <v>0</v>
      </c>
      <c r="Q123" s="241" t="s">
        <v>56</v>
      </c>
      <c r="R123" s="238">
        <v>220</v>
      </c>
      <c r="S123" s="242">
        <f>+Indexacion!V16</f>
        <v>7180.29</v>
      </c>
      <c r="T123" s="239">
        <f>+Indexacion!U16</f>
        <v>7180.29</v>
      </c>
      <c r="U123" s="243">
        <f t="shared" ref="U123" si="13">+T123/S123-1</f>
        <v>0</v>
      </c>
    </row>
    <row r="124" spans="2:21" x14ac:dyDescent="0.2">
      <c r="J124" s="120">
        <v>44835</v>
      </c>
      <c r="K124" s="120" t="s">
        <v>127</v>
      </c>
      <c r="L124" s="120" t="s">
        <v>48</v>
      </c>
      <c r="M124" s="121">
        <v>220</v>
      </c>
      <c r="N124" s="142">
        <f>+Indexacion!N17</f>
        <v>6974.43</v>
      </c>
      <c r="O124" s="142">
        <f>+Indexacion!M17</f>
        <v>7479.97</v>
      </c>
      <c r="P124" s="150">
        <f t="shared" ref="P124" si="14">+O124/N124-1</f>
        <v>7.248477653370955E-2</v>
      </c>
      <c r="Q124" s="124" t="s">
        <v>56</v>
      </c>
      <c r="R124" s="121">
        <v>220</v>
      </c>
      <c r="S124" s="143">
        <f>+Indexacion!V17</f>
        <v>6535.12</v>
      </c>
      <c r="T124" s="142">
        <f>+Indexacion!U17</f>
        <v>7020.38</v>
      </c>
      <c r="U124" s="145">
        <f t="shared" ref="U124" si="15">+T124/S124-1</f>
        <v>7.4254183549804731E-2</v>
      </c>
    </row>
    <row r="125" spans="2:21" x14ac:dyDescent="0.2">
      <c r="J125" s="194">
        <v>44866</v>
      </c>
      <c r="K125" s="194" t="s">
        <v>127</v>
      </c>
      <c r="L125" s="194" t="s">
        <v>48</v>
      </c>
      <c r="M125" s="197">
        <v>220</v>
      </c>
      <c r="N125" s="195">
        <f>+Indexacion!N18</f>
        <v>6974.43</v>
      </c>
      <c r="O125" s="195">
        <f>+Indexacion!M18</f>
        <v>7703.79</v>
      </c>
      <c r="P125" s="198">
        <f t="shared" ref="P125" si="16">+O125/N125-1</f>
        <v>0.10457628795471452</v>
      </c>
      <c r="Q125" s="199" t="s">
        <v>56</v>
      </c>
      <c r="R125" s="197">
        <v>220</v>
      </c>
      <c r="S125" s="200">
        <f>+Indexacion!V18</f>
        <v>6535.12</v>
      </c>
      <c r="T125" s="195">
        <f>+Indexacion!U18</f>
        <v>7235.92</v>
      </c>
      <c r="U125" s="201">
        <f t="shared" ref="U125" si="17">+T125/S125-1</f>
        <v>0.10723598036455351</v>
      </c>
    </row>
    <row r="126" spans="2:21" x14ac:dyDescent="0.2">
      <c r="J126" s="38">
        <v>44896</v>
      </c>
      <c r="K126" s="38" t="s">
        <v>129</v>
      </c>
      <c r="L126" s="38" t="s">
        <v>48</v>
      </c>
      <c r="M126" s="77">
        <v>220</v>
      </c>
      <c r="N126" s="35">
        <f>+Indexacion!N19</f>
        <v>7940</v>
      </c>
      <c r="O126" s="35">
        <f>+Indexacion!M19</f>
        <v>7940</v>
      </c>
      <c r="P126" s="42">
        <f t="shared" ref="P126" si="18">+O126/N126-1</f>
        <v>0</v>
      </c>
      <c r="Q126" s="37" t="s">
        <v>56</v>
      </c>
      <c r="R126" s="77">
        <v>220</v>
      </c>
      <c r="S126" s="36">
        <f>+Indexacion!V19</f>
        <v>7465.69</v>
      </c>
      <c r="T126" s="35">
        <f>+Indexacion!U19</f>
        <v>7465.69</v>
      </c>
      <c r="U126" s="84">
        <f t="shared" ref="U126" si="19">+T126/S126-1</f>
        <v>0</v>
      </c>
    </row>
    <row r="127" spans="2:21" x14ac:dyDescent="0.2">
      <c r="J127" s="194">
        <v>44927</v>
      </c>
      <c r="K127" s="194" t="s">
        <v>129</v>
      </c>
      <c r="L127" s="194" t="s">
        <v>48</v>
      </c>
      <c r="M127" s="197">
        <v>220</v>
      </c>
      <c r="N127" s="195">
        <f>+Indexacion!N20</f>
        <v>7940</v>
      </c>
      <c r="O127" s="195">
        <f>+Indexacion!M20</f>
        <v>7790.16</v>
      </c>
      <c r="P127" s="198">
        <f t="shared" ref="P127:P128" si="20">+O127/N127-1</f>
        <v>-1.8871536523929477E-2</v>
      </c>
      <c r="Q127" s="199" t="s">
        <v>56</v>
      </c>
      <c r="R127" s="197">
        <v>220</v>
      </c>
      <c r="S127" s="200">
        <f>+Indexacion!V20</f>
        <v>7465.69</v>
      </c>
      <c r="T127" s="195">
        <f>+Indexacion!U20</f>
        <v>7318.06</v>
      </c>
      <c r="U127" s="201">
        <f t="shared" ref="U127:U128" si="21">+T127/S127-1</f>
        <v>-1.9774461570196356E-2</v>
      </c>
    </row>
    <row r="128" spans="2:21" x14ac:dyDescent="0.2">
      <c r="J128" s="38">
        <v>44958</v>
      </c>
      <c r="K128" s="38" t="s">
        <v>129</v>
      </c>
      <c r="L128" s="38" t="s">
        <v>48</v>
      </c>
      <c r="M128" s="77">
        <v>220</v>
      </c>
      <c r="N128" s="35">
        <f>+Indexacion!N21</f>
        <v>7940</v>
      </c>
      <c r="O128" s="35">
        <f>+Indexacion!M21</f>
        <v>7540.13</v>
      </c>
      <c r="P128" s="42">
        <f t="shared" si="20"/>
        <v>-5.0361460957178861E-2</v>
      </c>
      <c r="Q128" s="37" t="s">
        <v>56</v>
      </c>
      <c r="R128" s="77">
        <v>220</v>
      </c>
      <c r="S128" s="36">
        <f>+Indexacion!V21</f>
        <v>7465.69</v>
      </c>
      <c r="T128" s="35">
        <f>+Indexacion!U21</f>
        <v>7072.62</v>
      </c>
      <c r="U128" s="84">
        <f t="shared" si="21"/>
        <v>-5.2650190404369801E-2</v>
      </c>
    </row>
    <row r="129" spans="10:21" ht="13.5" thickBot="1" x14ac:dyDescent="0.25">
      <c r="J129" s="237">
        <v>44986</v>
      </c>
      <c r="K129" s="237" t="s">
        <v>129</v>
      </c>
      <c r="L129" s="237" t="s">
        <v>48</v>
      </c>
      <c r="M129" s="238">
        <v>220</v>
      </c>
      <c r="N129" s="239">
        <f>+Indexacion!N22</f>
        <v>7940</v>
      </c>
      <c r="O129" s="239">
        <f>+Indexacion!M22</f>
        <v>7260.14</v>
      </c>
      <c r="P129" s="240">
        <f t="shared" ref="P129" si="22">+O129/N129-1</f>
        <v>-8.5624685138539047E-2</v>
      </c>
      <c r="Q129" s="241" t="s">
        <v>56</v>
      </c>
      <c r="R129" s="238">
        <v>220</v>
      </c>
      <c r="S129" s="242">
        <f>+Indexacion!V22</f>
        <v>7465.69</v>
      </c>
      <c r="T129" s="239">
        <f>+Indexacion!U22</f>
        <v>6797.72</v>
      </c>
      <c r="U129" s="243">
        <f t="shared" ref="U129" si="23">+T129/S129-1</f>
        <v>-8.9471971110506754E-2</v>
      </c>
    </row>
  </sheetData>
  <phoneticPr fontId="23" type="noConversion"/>
  <printOptions horizontalCentered="1" gridLinesSet="0"/>
  <pageMargins left="0.75" right="0.75" top="2.3622047244094491" bottom="1" header="0.51181102362204722" footer="0.51181102362204722"/>
  <pageSetup scale="66" orientation="portrait" r:id="rId1"/>
  <headerFooter alignWithMargins="0">
    <oddHeader>&amp;L&amp;"Arial,Negrita"&amp;12COMISION NACIONAL DE ENERGIA</oddHeader>
    <oddFooter>&amp;L&amp;F-&amp;A&amp;CPágina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Fuentes</vt:lpstr>
      <vt:lpstr>Parámetros</vt:lpstr>
      <vt:lpstr>Indices</vt:lpstr>
      <vt:lpstr>Indexacion</vt:lpstr>
      <vt:lpstr>Formulas</vt:lpstr>
      <vt:lpstr>Histórico</vt:lpstr>
      <vt:lpstr>Fuentes!Área_de_impresión</vt:lpstr>
      <vt:lpstr>Histórico!Área_de_impresión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Fabían Barría</dc:creator>
  <cp:lastModifiedBy>Felipe  Toledo</cp:lastModifiedBy>
  <dcterms:created xsi:type="dcterms:W3CDTF">2009-07-17T15:28:27Z</dcterms:created>
  <dcterms:modified xsi:type="dcterms:W3CDTF">2023-03-01T12:52:53Z</dcterms:modified>
</cp:coreProperties>
</file>