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7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cd89603c9d2f42/E2BIZ/Proyectos/2020 - CNE - Costo de Falla de Corta y Larga Duración SEN y SSMM/Informes/Informe Final Corregido/"/>
    </mc:Choice>
  </mc:AlternateContent>
  <xr:revisionPtr revIDLastSave="0" documentId="8_{513A3088-CB17-4440-B7E5-69B1775682DD}" xr6:coauthVersionLast="46" xr6:coauthVersionMax="46" xr10:uidLastSave="{00000000-0000-0000-0000-000000000000}"/>
  <bookViews>
    <workbookView xWindow="-108" yWindow="-108" windowWidth="23256" windowHeight="12576" tabRatio="888" firstSheet="1" activeTab="1" xr2:uid="{01182B4F-55A6-46BC-B9DE-BA805DEFAA84}"/>
  </bookViews>
  <sheets>
    <sheet name="Instrucciones" sheetId="9" r:id="rId1"/>
    <sheet name="Resultados" sheetId="3" r:id="rId2"/>
    <sheet name="Mes Año Costo de Falla" sheetId="13" r:id="rId3"/>
    <sheet name="Ingreso Tarifas BT1" sheetId="5" r:id="rId4"/>
    <sheet name="Ingreso Tarifas AT4.3" sheetId="6" r:id="rId5"/>
    <sheet name="Ingreso Index Min, Indus y Serv" sheetId="10" r:id="rId6"/>
    <sheet name="Select Index Min, Indust y Serv" sheetId="1" r:id="rId7"/>
    <sheet name="Participación por Sistema" sheetId="8" r:id="rId8"/>
    <sheet name="Encuestas Min, Indust y Serv" sheetId="2" r:id="rId9"/>
    <sheet name="Econométrico Comercio" sheetId="7" r:id="rId10"/>
    <sheet name="Econométrico Residencial" sheetId="4" r:id="rId1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2" l="1"/>
  <c r="N6" i="10"/>
  <c r="H5" i="1" s="1"/>
  <c r="O6" i="10"/>
  <c r="P6" i="10"/>
  <c r="Q6" i="10"/>
  <c r="R6" i="10"/>
  <c r="S6" i="10"/>
  <c r="T6" i="10"/>
  <c r="U6" i="10"/>
  <c r="V6" i="10"/>
  <c r="W6" i="10"/>
  <c r="X6" i="10"/>
  <c r="Y6" i="10"/>
  <c r="Z6" i="10"/>
  <c r="AA6" i="10"/>
  <c r="AB6" i="10"/>
  <c r="AC6" i="10"/>
  <c r="AD6" i="10"/>
  <c r="AE6" i="10"/>
  <c r="AF6" i="10"/>
  <c r="AG6" i="10"/>
  <c r="AH6" i="10"/>
  <c r="AI6" i="10"/>
  <c r="AJ6" i="10"/>
  <c r="AK6" i="10"/>
  <c r="AL6" i="10"/>
  <c r="AM6" i="10"/>
  <c r="AN6" i="10"/>
  <c r="AO6" i="10"/>
  <c r="AP6" i="10"/>
  <c r="AQ6" i="10"/>
  <c r="AR6" i="10"/>
  <c r="AS6" i="10"/>
  <c r="AT6" i="10"/>
  <c r="AU6" i="10"/>
  <c r="AV6" i="10"/>
  <c r="AW6" i="10"/>
  <c r="AX6" i="10"/>
  <c r="AY6" i="10"/>
  <c r="AZ6" i="10"/>
  <c r="BA6" i="10"/>
  <c r="BB6" i="10"/>
  <c r="BC6" i="10"/>
  <c r="BD6" i="10"/>
  <c r="BE6" i="10"/>
  <c r="BF6" i="10"/>
  <c r="BG6" i="10"/>
  <c r="BH6" i="10"/>
  <c r="BI6" i="10"/>
  <c r="BJ6" i="10"/>
  <c r="BK6" i="10"/>
  <c r="BL6" i="10"/>
  <c r="BM6" i="10"/>
  <c r="BN6" i="10"/>
  <c r="BO6" i="10"/>
  <c r="BP6" i="10"/>
  <c r="BQ6" i="10"/>
  <c r="BR6" i="10"/>
  <c r="BS6" i="10"/>
  <c r="BT6" i="10"/>
  <c r="BU6" i="10"/>
  <c r="BV6" i="10"/>
  <c r="L45" i="2" l="1"/>
  <c r="L44" i="2"/>
  <c r="L43" i="2"/>
  <c r="L42" i="2"/>
  <c r="L41" i="2"/>
  <c r="L40" i="2"/>
  <c r="K45" i="2"/>
  <c r="K44" i="2"/>
  <c r="K43" i="2"/>
  <c r="K42" i="2"/>
  <c r="K41" i="2"/>
  <c r="K40" i="2"/>
  <c r="J45" i="2"/>
  <c r="J44" i="2"/>
  <c r="J43" i="2"/>
  <c r="J41" i="2"/>
  <c r="J40" i="2"/>
  <c r="I45" i="2"/>
  <c r="I43" i="2"/>
  <c r="I42" i="2"/>
  <c r="I40" i="2"/>
  <c r="I39" i="2"/>
  <c r="AT1" i="1" l="1"/>
  <c r="AU1" i="1"/>
  <c r="AV1" i="1"/>
  <c r="AW1" i="1"/>
  <c r="AX1" i="1"/>
  <c r="AY1" i="1"/>
  <c r="AZ1" i="1"/>
  <c r="BA1" i="1"/>
  <c r="BB1" i="1"/>
  <c r="BC1" i="1"/>
  <c r="BD1" i="1"/>
  <c r="BE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W4" i="1" l="1" a="1"/>
  <c r="W4" i="1" s="1"/>
  <c r="W9" i="1" a="1"/>
  <c r="W9" i="1" s="1"/>
  <c r="W2" i="1" a="1"/>
  <c r="W2" i="1" s="1"/>
  <c r="W5" i="1"/>
  <c r="W6" i="1" a="1"/>
  <c r="W6" i="1" s="1"/>
  <c r="W7" i="1" s="1"/>
  <c r="W3" i="1" a="1"/>
  <c r="W3" i="1" s="1"/>
  <c r="W8" i="1" a="1"/>
  <c r="W8" i="1" s="1"/>
  <c r="AI9" i="1" a="1"/>
  <c r="AI9" i="1" s="1"/>
  <c r="AI2" i="1" a="1"/>
  <c r="AI2" i="1" s="1"/>
  <c r="AI3" i="1" a="1"/>
  <c r="AI3" i="1" s="1"/>
  <c r="AI6" i="1" a="1"/>
  <c r="AI6" i="1" s="1"/>
  <c r="AI5" i="1"/>
  <c r="AI7" i="1" s="1"/>
  <c r="AI4" i="1" a="1"/>
  <c r="AI4" i="1" s="1"/>
  <c r="AI8" i="1" a="1"/>
  <c r="AI8" i="1" s="1"/>
  <c r="BD3" i="1" a="1"/>
  <c r="BD3" i="1" s="1"/>
  <c r="BD4" i="1" a="1"/>
  <c r="BD4" i="1" s="1"/>
  <c r="BD5" i="1"/>
  <c r="BD6" i="1" a="1"/>
  <c r="BD6" i="1" s="1"/>
  <c r="BD2" i="1" a="1"/>
  <c r="BD2" i="1" s="1"/>
  <c r="BD8" i="1" a="1"/>
  <c r="BD8" i="1" s="1"/>
  <c r="BD9" i="1" a="1"/>
  <c r="BD9" i="1" s="1"/>
  <c r="X3" i="1" a="1"/>
  <c r="X3" i="1" s="1"/>
  <c r="X8" i="1" a="1"/>
  <c r="X8" i="1" s="1"/>
  <c r="X4" i="1" a="1"/>
  <c r="X4" i="1" s="1"/>
  <c r="X2" i="1" a="1"/>
  <c r="X2" i="1" s="1"/>
  <c r="X6" i="1" a="1"/>
  <c r="X6" i="1" s="1"/>
  <c r="X9" i="1" a="1"/>
  <c r="X9" i="1" s="1"/>
  <c r="X5" i="1"/>
  <c r="AJ8" i="1" a="1"/>
  <c r="AJ8" i="1" s="1"/>
  <c r="AJ2" i="1" a="1"/>
  <c r="AJ2" i="1" s="1"/>
  <c r="AJ3" i="1" a="1"/>
  <c r="AJ3" i="1" s="1"/>
  <c r="AJ6" i="1" a="1"/>
  <c r="AJ6" i="1" s="1"/>
  <c r="AJ7" i="1" s="1"/>
  <c r="AJ4" i="1" a="1"/>
  <c r="AJ4" i="1" s="1"/>
  <c r="AJ9" i="1" a="1"/>
  <c r="AJ9" i="1" s="1"/>
  <c r="AJ5" i="1"/>
  <c r="BC4" i="1" a="1"/>
  <c r="BC4" i="1" s="1"/>
  <c r="BC2" i="1" a="1"/>
  <c r="BC2" i="1" s="1"/>
  <c r="BC8" i="1" a="1"/>
  <c r="BC8" i="1" s="1"/>
  <c r="BC6" i="1" a="1"/>
  <c r="BC6" i="1" s="1"/>
  <c r="BC5" i="1"/>
  <c r="BC9" i="1" a="1"/>
  <c r="BC9" i="1" s="1"/>
  <c r="BC3" i="1" a="1"/>
  <c r="BC3" i="1" s="1"/>
  <c r="Y3" i="1" a="1"/>
  <c r="Y3" i="1" s="1"/>
  <c r="Y4" i="1" a="1"/>
  <c r="Y4" i="1" s="1"/>
  <c r="Y2" i="1" a="1"/>
  <c r="Y2" i="1" s="1"/>
  <c r="Y6" i="1" a="1"/>
  <c r="Y6" i="1" s="1"/>
  <c r="Y5" i="1"/>
  <c r="Y7" i="1" s="1"/>
  <c r="Y9" i="1" a="1"/>
  <c r="Y9" i="1" s="1"/>
  <c r="Y8" i="1" a="1"/>
  <c r="Y8" i="1" s="1"/>
  <c r="AK2" i="1" a="1"/>
  <c r="AK2" i="1" s="1"/>
  <c r="AK3" i="1" a="1"/>
  <c r="AK3" i="1" s="1"/>
  <c r="AK6" i="1" a="1"/>
  <c r="AK6" i="1" s="1"/>
  <c r="AK5" i="1"/>
  <c r="AK7" i="1" s="1"/>
  <c r="AK9" i="1" a="1"/>
  <c r="AK9" i="1" s="1"/>
  <c r="AK8" i="1" a="1"/>
  <c r="AK8" i="1" s="1"/>
  <c r="AK4" i="1" a="1"/>
  <c r="AK4" i="1" s="1"/>
  <c r="BB6" i="1" a="1"/>
  <c r="BB6" i="1" s="1"/>
  <c r="BB8" i="1" a="1"/>
  <c r="BB8" i="1" s="1"/>
  <c r="BB5" i="1"/>
  <c r="BB7" i="1" s="1"/>
  <c r="BB9" i="1" a="1"/>
  <c r="BB9" i="1" s="1"/>
  <c r="BB4" i="1" a="1"/>
  <c r="BB4" i="1" s="1"/>
  <c r="BB3" i="1" a="1"/>
  <c r="BB3" i="1" s="1"/>
  <c r="BB2" i="1" a="1"/>
  <c r="BB2" i="1" s="1"/>
  <c r="AL6" i="1" a="1"/>
  <c r="AL6" i="1" s="1"/>
  <c r="AL4" i="1" a="1"/>
  <c r="AL4" i="1" s="1"/>
  <c r="AL8" i="1" a="1"/>
  <c r="AL8" i="1" s="1"/>
  <c r="AL2" i="1" a="1"/>
  <c r="AL2" i="1" s="1"/>
  <c r="AL5" i="1"/>
  <c r="AL7" i="1" s="1"/>
  <c r="AL9" i="1" a="1"/>
  <c r="AL9" i="1" s="1"/>
  <c r="AL3" i="1" a="1"/>
  <c r="AL3" i="1" s="1"/>
  <c r="BA5" i="1"/>
  <c r="BA7" i="1" s="1"/>
  <c r="BA9" i="1" a="1"/>
  <c r="BA9" i="1" s="1"/>
  <c r="BA4" i="1" a="1"/>
  <c r="BA4" i="1" s="1"/>
  <c r="BA2" i="1" a="1"/>
  <c r="BA2" i="1" s="1"/>
  <c r="BA6" i="1" a="1"/>
  <c r="BA6" i="1" s="1"/>
  <c r="BA8" i="1" a="1"/>
  <c r="BA8" i="1" s="1"/>
  <c r="BA3" i="1" a="1"/>
  <c r="BA3" i="1" s="1"/>
  <c r="BE2" i="1" a="1"/>
  <c r="BE2" i="1" s="1"/>
  <c r="BE3" i="1" a="1"/>
  <c r="BE3" i="1" s="1"/>
  <c r="BE4" i="1" a="1"/>
  <c r="BE4" i="1" s="1"/>
  <c r="BE6" i="1" a="1"/>
  <c r="BE6" i="1" s="1"/>
  <c r="BE8" i="1" a="1"/>
  <c r="BE8" i="1" s="1"/>
  <c r="BE9" i="1" a="1"/>
  <c r="BE9" i="1" s="1"/>
  <c r="BE5" i="1"/>
  <c r="BE7" i="1" s="1"/>
  <c r="O4" i="1" a="1"/>
  <c r="O4" i="1" s="1"/>
  <c r="O6" i="1" a="1"/>
  <c r="O6" i="1" s="1"/>
  <c r="O8" i="1" a="1"/>
  <c r="O8" i="1" s="1"/>
  <c r="O2" i="1" a="1"/>
  <c r="O2" i="1" s="1"/>
  <c r="O3" i="1" a="1"/>
  <c r="O3" i="1" s="1"/>
  <c r="O5" i="1"/>
  <c r="O9" i="1" a="1"/>
  <c r="O9" i="1" s="1"/>
  <c r="AA3" i="1" a="1"/>
  <c r="AA3" i="1" s="1"/>
  <c r="AA5" i="1"/>
  <c r="AA7" i="1" s="1"/>
  <c r="AA9" i="1" a="1"/>
  <c r="AA9" i="1" s="1"/>
  <c r="AA2" i="1" a="1"/>
  <c r="AA2" i="1" s="1"/>
  <c r="AA4" i="1" a="1"/>
  <c r="AA4" i="1" s="1"/>
  <c r="AA8" i="1" a="1"/>
  <c r="AA8" i="1" s="1"/>
  <c r="AA6" i="1" a="1"/>
  <c r="AA6" i="1" s="1"/>
  <c r="AM4" i="1" a="1"/>
  <c r="AM4" i="1" s="1"/>
  <c r="AM9" i="1" a="1"/>
  <c r="AM9" i="1" s="1"/>
  <c r="AM8" i="1" a="1"/>
  <c r="AM8" i="1" s="1"/>
  <c r="AM3" i="1" a="1"/>
  <c r="AM3" i="1" s="1"/>
  <c r="AM2" i="1" a="1"/>
  <c r="AM2" i="1" s="1"/>
  <c r="AM5" i="1"/>
  <c r="AM6" i="1" a="1"/>
  <c r="AM6" i="1" s="1"/>
  <c r="AZ2" i="1" a="1"/>
  <c r="AZ2" i="1" s="1"/>
  <c r="AZ3" i="1" a="1"/>
  <c r="AZ3" i="1" s="1"/>
  <c r="AZ6" i="1" a="1"/>
  <c r="AZ6" i="1" s="1"/>
  <c r="AZ7" i="1" s="1"/>
  <c r="AZ8" i="1" a="1"/>
  <c r="AZ8" i="1" s="1"/>
  <c r="AZ9" i="1" a="1"/>
  <c r="AZ9" i="1" s="1"/>
  <c r="AZ5" i="1"/>
  <c r="AZ4" i="1" a="1"/>
  <c r="AZ4" i="1" s="1"/>
  <c r="V6" i="1" a="1"/>
  <c r="V6" i="1" s="1"/>
  <c r="V5" i="1"/>
  <c r="V9" i="1" a="1"/>
  <c r="V9" i="1" s="1"/>
  <c r="V3" i="1" a="1"/>
  <c r="V3" i="1" s="1"/>
  <c r="V2" i="1" a="1"/>
  <c r="V2" i="1" s="1"/>
  <c r="V4" i="1" a="1"/>
  <c r="V4" i="1" s="1"/>
  <c r="V8" i="1" a="1"/>
  <c r="V8" i="1" s="1"/>
  <c r="N6" i="1" a="1"/>
  <c r="N6" i="1" s="1"/>
  <c r="N4" i="1" a="1"/>
  <c r="N4" i="1" s="1"/>
  <c r="N8" i="1" a="1"/>
  <c r="N8" i="1" s="1"/>
  <c r="N3" i="1" a="1"/>
  <c r="N3" i="1" s="1"/>
  <c r="N5" i="1"/>
  <c r="N9" i="1" a="1"/>
  <c r="N9" i="1" s="1"/>
  <c r="N2" i="1" a="1"/>
  <c r="N2" i="1" s="1"/>
  <c r="P3" i="1" a="1"/>
  <c r="P3" i="1" s="1"/>
  <c r="P4" i="1" a="1"/>
  <c r="P4" i="1" s="1"/>
  <c r="P6" i="1" a="1"/>
  <c r="P6" i="1" s="1"/>
  <c r="P9" i="1" a="1"/>
  <c r="P9" i="1" s="1"/>
  <c r="P2" i="1" a="1"/>
  <c r="P2" i="1" s="1"/>
  <c r="P8" i="1" a="1"/>
  <c r="P8" i="1" s="1"/>
  <c r="P5" i="1"/>
  <c r="AB8" i="1" a="1"/>
  <c r="AB8" i="1" s="1"/>
  <c r="AB4" i="1" a="1"/>
  <c r="AB4" i="1" s="1"/>
  <c r="AB5" i="1"/>
  <c r="AB6" i="1" a="1"/>
  <c r="AB6" i="1" s="1"/>
  <c r="AB3" i="1" a="1"/>
  <c r="AB3" i="1" s="1"/>
  <c r="AB9" i="1" a="1"/>
  <c r="AB9" i="1" s="1"/>
  <c r="AB2" i="1" a="1"/>
  <c r="AB2" i="1" s="1"/>
  <c r="AN3" i="1" a="1"/>
  <c r="AN3" i="1" s="1"/>
  <c r="AN4" i="1" a="1"/>
  <c r="AN4" i="1" s="1"/>
  <c r="AN6" i="1" a="1"/>
  <c r="AN6" i="1" s="1"/>
  <c r="AN7" i="1" s="1"/>
  <c r="AN2" i="1" a="1"/>
  <c r="AN2" i="1" s="1"/>
  <c r="AN5" i="1"/>
  <c r="AN9" i="1" a="1"/>
  <c r="AN9" i="1" s="1"/>
  <c r="AN8" i="1" a="1"/>
  <c r="AN8" i="1" s="1"/>
  <c r="AY2" i="1" a="1"/>
  <c r="AY2" i="1" s="1"/>
  <c r="AY3" i="1" a="1"/>
  <c r="AY3" i="1" s="1"/>
  <c r="AY6" i="1" a="1"/>
  <c r="AY6" i="1" s="1"/>
  <c r="AY5" i="1"/>
  <c r="AY8" i="1" a="1"/>
  <c r="AY8" i="1" s="1"/>
  <c r="AY4" i="1" a="1"/>
  <c r="AY4" i="1" s="1"/>
  <c r="AY9" i="1" a="1"/>
  <c r="AY9" i="1" s="1"/>
  <c r="J3" i="1" a="1"/>
  <c r="J3" i="1" s="1"/>
  <c r="J4" i="1" a="1"/>
  <c r="J4" i="1" s="1"/>
  <c r="J5" i="1"/>
  <c r="J2" i="1" a="1"/>
  <c r="J2" i="1" s="1"/>
  <c r="J9" i="1" a="1"/>
  <c r="J9" i="1" s="1"/>
  <c r="J6" i="1" a="1"/>
  <c r="J6" i="1" s="1"/>
  <c r="J8" i="1" a="1"/>
  <c r="J8" i="1" s="1"/>
  <c r="Z3" i="1" a="1"/>
  <c r="Z3" i="1" s="1"/>
  <c r="Z4" i="1" a="1"/>
  <c r="Z4" i="1" s="1"/>
  <c r="Z5" i="1"/>
  <c r="Z7" i="1" s="1"/>
  <c r="Z6" i="1" a="1"/>
  <c r="Z6" i="1" s="1"/>
  <c r="Z2" i="1" a="1"/>
  <c r="Z2" i="1" s="1"/>
  <c r="Z8" i="1" a="1"/>
  <c r="Z8" i="1" s="1"/>
  <c r="Z9" i="1" a="1"/>
  <c r="Z9" i="1" s="1"/>
  <c r="AC5" i="1"/>
  <c r="AC7" i="1" s="1"/>
  <c r="AC9" i="1" a="1"/>
  <c r="AC9" i="1" s="1"/>
  <c r="AC2" i="1" a="1"/>
  <c r="AC2" i="1" s="1"/>
  <c r="AC8" i="1" a="1"/>
  <c r="AC8" i="1" s="1"/>
  <c r="AC4" i="1" a="1"/>
  <c r="AC4" i="1" s="1"/>
  <c r="AC3" i="1" a="1"/>
  <c r="AC3" i="1" s="1"/>
  <c r="AC6" i="1" a="1"/>
  <c r="AC6" i="1" s="1"/>
  <c r="AO2" i="1" a="1"/>
  <c r="AO2" i="1" s="1"/>
  <c r="AO5" i="1"/>
  <c r="AO9" i="1" a="1"/>
  <c r="AO9" i="1" s="1"/>
  <c r="AO3" i="1" a="1"/>
  <c r="AO3" i="1" s="1"/>
  <c r="AO4" i="1" a="1"/>
  <c r="AO4" i="1" s="1"/>
  <c r="AO6" i="1" a="1"/>
  <c r="AO6" i="1" s="1"/>
  <c r="AO8" i="1" a="1"/>
  <c r="AO8" i="1" s="1"/>
  <c r="AX2" i="1" a="1"/>
  <c r="AX2" i="1" s="1"/>
  <c r="AX3" i="1" a="1"/>
  <c r="AX3" i="1" s="1"/>
  <c r="AX4" i="1" a="1"/>
  <c r="AX4" i="1" s="1"/>
  <c r="AX9" i="1" a="1"/>
  <c r="AX9" i="1" s="1"/>
  <c r="AX6" i="1" a="1"/>
  <c r="AX6" i="1" s="1"/>
  <c r="AX5" i="1"/>
  <c r="AX7" i="1" s="1"/>
  <c r="AX8" i="1" a="1"/>
  <c r="AX8" i="1" s="1"/>
  <c r="L8" i="1" a="1"/>
  <c r="L8" i="1" s="1"/>
  <c r="L2" i="1" a="1"/>
  <c r="L2" i="1" s="1"/>
  <c r="L4" i="1" a="1"/>
  <c r="L4" i="1" s="1"/>
  <c r="L6" i="1" a="1"/>
  <c r="L6" i="1" s="1"/>
  <c r="L5" i="1"/>
  <c r="L9" i="1" a="1"/>
  <c r="L9" i="1" s="1"/>
  <c r="L3" i="1" a="1"/>
  <c r="L3" i="1" s="1"/>
  <c r="R8" i="1" a="1"/>
  <c r="R8" i="1" s="1"/>
  <c r="R5" i="1"/>
  <c r="R2" i="1" a="1"/>
  <c r="R2" i="1" s="1"/>
  <c r="R3" i="1" a="1"/>
  <c r="R3" i="1" s="1"/>
  <c r="R4" i="1" a="1"/>
  <c r="R4" i="1" s="1"/>
  <c r="R9" i="1" a="1"/>
  <c r="R9" i="1" s="1"/>
  <c r="R6" i="1" a="1"/>
  <c r="R6" i="1" s="1"/>
  <c r="AD6" i="1" a="1"/>
  <c r="AD6" i="1" s="1"/>
  <c r="AD8" i="1" a="1"/>
  <c r="AD8" i="1" s="1"/>
  <c r="AD5" i="1"/>
  <c r="AD7" i="1" s="1"/>
  <c r="AD2" i="1" a="1"/>
  <c r="AD2" i="1" s="1"/>
  <c r="AD9" i="1" a="1"/>
  <c r="AD9" i="1" s="1"/>
  <c r="AD3" i="1" a="1"/>
  <c r="AD3" i="1" s="1"/>
  <c r="AD4" i="1" a="1"/>
  <c r="AD4" i="1" s="1"/>
  <c r="AP8" i="1" a="1"/>
  <c r="AP8" i="1" s="1"/>
  <c r="AP2" i="1" a="1"/>
  <c r="AP2" i="1" s="1"/>
  <c r="AP5" i="1"/>
  <c r="AP3" i="1" a="1"/>
  <c r="AP3" i="1" s="1"/>
  <c r="AP4" i="1" a="1"/>
  <c r="AP4" i="1" s="1"/>
  <c r="AP9" i="1" a="1"/>
  <c r="AP9" i="1" s="1"/>
  <c r="AP6" i="1" a="1"/>
  <c r="AP6" i="1" s="1"/>
  <c r="AW2" i="1" a="1"/>
  <c r="AW2" i="1" s="1"/>
  <c r="AW3" i="1" a="1"/>
  <c r="AW3" i="1" s="1"/>
  <c r="AW4" i="1" a="1"/>
  <c r="AW4" i="1" s="1"/>
  <c r="AW6" i="1" a="1"/>
  <c r="AW6" i="1" s="1"/>
  <c r="AW9" i="1" a="1"/>
  <c r="AW9" i="1" s="1"/>
  <c r="AW5" i="1"/>
  <c r="AW7" i="1" s="1"/>
  <c r="AW8" i="1" a="1"/>
  <c r="AW8" i="1" s="1"/>
  <c r="M2" i="1" a="1"/>
  <c r="M2" i="1" s="1"/>
  <c r="M4" i="1" a="1"/>
  <c r="M4" i="1" s="1"/>
  <c r="M8" i="1" a="1"/>
  <c r="M8" i="1" s="1"/>
  <c r="M6" i="1" a="1"/>
  <c r="M6" i="1" s="1"/>
  <c r="M3" i="1" a="1"/>
  <c r="M3" i="1" s="1"/>
  <c r="M5" i="1"/>
  <c r="M9" i="1" a="1"/>
  <c r="M9" i="1" s="1"/>
  <c r="S3" i="1" a="1"/>
  <c r="S3" i="1" s="1"/>
  <c r="S2" i="1" a="1"/>
  <c r="S2" i="1" s="1"/>
  <c r="S8" i="1" a="1"/>
  <c r="S8" i="1" s="1"/>
  <c r="S4" i="1" a="1"/>
  <c r="S4" i="1" s="1"/>
  <c r="S6" i="1" a="1"/>
  <c r="S6" i="1" s="1"/>
  <c r="S9" i="1" a="1"/>
  <c r="S9" i="1" s="1"/>
  <c r="S5" i="1"/>
  <c r="S7" i="1" s="1"/>
  <c r="AE4" i="1" a="1"/>
  <c r="AE4" i="1" s="1"/>
  <c r="AE2" i="1" a="1"/>
  <c r="AE2" i="1" s="1"/>
  <c r="AE8" i="1" a="1"/>
  <c r="AE8" i="1" s="1"/>
  <c r="AE5" i="1"/>
  <c r="AE6" i="1" a="1"/>
  <c r="AE6" i="1" s="1"/>
  <c r="AE7" i="1" s="1"/>
  <c r="AE3" i="1" a="1"/>
  <c r="AE3" i="1" s="1"/>
  <c r="AE9" i="1" a="1"/>
  <c r="AE9" i="1" s="1"/>
  <c r="AQ2" i="1" a="1"/>
  <c r="AQ2" i="1" s="1"/>
  <c r="AQ3" i="1" a="1"/>
  <c r="AQ3" i="1" s="1"/>
  <c r="AQ5" i="1"/>
  <c r="AQ4" i="1" a="1"/>
  <c r="AQ4" i="1" s="1"/>
  <c r="AQ9" i="1" a="1"/>
  <c r="AQ9" i="1" s="1"/>
  <c r="AQ6" i="1" a="1"/>
  <c r="AQ6" i="1" s="1"/>
  <c r="AQ8" i="1" a="1"/>
  <c r="AQ8" i="1" s="1"/>
  <c r="AV3" i="1" a="1"/>
  <c r="AV3" i="1" s="1"/>
  <c r="AV8" i="1" a="1"/>
  <c r="AV8" i="1" s="1"/>
  <c r="AV4" i="1" a="1"/>
  <c r="AV4" i="1" s="1"/>
  <c r="AV6" i="1" a="1"/>
  <c r="AV6" i="1" s="1"/>
  <c r="AV9" i="1" a="1"/>
  <c r="AV9" i="1" s="1"/>
  <c r="AV5" i="1"/>
  <c r="AV2" i="1" a="1"/>
  <c r="AV2" i="1" s="1"/>
  <c r="K9" i="1" a="1"/>
  <c r="K9" i="1" s="1"/>
  <c r="K2" i="1" a="1"/>
  <c r="K2" i="1" s="1"/>
  <c r="K3" i="1" a="1"/>
  <c r="K3" i="1" s="1"/>
  <c r="K6" i="1" a="1"/>
  <c r="K6" i="1" s="1"/>
  <c r="K8" i="1" a="1"/>
  <c r="K8" i="1" s="1"/>
  <c r="K4" i="1" a="1"/>
  <c r="K4" i="1" s="1"/>
  <c r="K5" i="1"/>
  <c r="K7" i="1" s="1"/>
  <c r="Q5" i="1"/>
  <c r="Q7" i="1" s="1"/>
  <c r="Q9" i="1" a="1"/>
  <c r="Q9" i="1" s="1"/>
  <c r="Q2" i="1" a="1"/>
  <c r="Q2" i="1" s="1"/>
  <c r="Q3" i="1" a="1"/>
  <c r="Q3" i="1" s="1"/>
  <c r="Q4" i="1" a="1"/>
  <c r="Q4" i="1" s="1"/>
  <c r="Q6" i="1" a="1"/>
  <c r="Q6" i="1" s="1"/>
  <c r="Q8" i="1" a="1"/>
  <c r="Q8" i="1" s="1"/>
  <c r="T5" i="1"/>
  <c r="T2" i="1" a="1"/>
  <c r="T2" i="1" s="1"/>
  <c r="T3" i="1" a="1"/>
  <c r="T3" i="1" s="1"/>
  <c r="T8" i="1" a="1"/>
  <c r="T8" i="1" s="1"/>
  <c r="T6" i="1" a="1"/>
  <c r="T6" i="1" s="1"/>
  <c r="T7" i="1" s="1"/>
  <c r="T4" i="1" a="1"/>
  <c r="T4" i="1" s="1"/>
  <c r="T9" i="1" a="1"/>
  <c r="T9" i="1" s="1"/>
  <c r="AF3" i="1" a="1"/>
  <c r="AF3" i="1" s="1"/>
  <c r="AF4" i="1" a="1"/>
  <c r="AF4" i="1" s="1"/>
  <c r="AF5" i="1"/>
  <c r="AF6" i="1" a="1"/>
  <c r="AF6" i="1" s="1"/>
  <c r="AF2" i="1" a="1"/>
  <c r="AF2" i="1" s="1"/>
  <c r="AF9" i="1" a="1"/>
  <c r="AF9" i="1" s="1"/>
  <c r="AF8" i="1" a="1"/>
  <c r="AF8" i="1" s="1"/>
  <c r="AR5" i="1"/>
  <c r="AR2" i="1" a="1"/>
  <c r="AR2" i="1" s="1"/>
  <c r="AR4" i="1" a="1"/>
  <c r="AR4" i="1" s="1"/>
  <c r="AR3" i="1" a="1"/>
  <c r="AR3" i="1" s="1"/>
  <c r="AR6" i="1" a="1"/>
  <c r="AR6" i="1" s="1"/>
  <c r="AR8" i="1" a="1"/>
  <c r="AR8" i="1" s="1"/>
  <c r="AR9" i="1" a="1"/>
  <c r="AR9" i="1" s="1"/>
  <c r="AU4" i="1" a="1"/>
  <c r="AU4" i="1" s="1"/>
  <c r="AU9" i="1" a="1"/>
  <c r="AU9" i="1" s="1"/>
  <c r="AU3" i="1" a="1"/>
  <c r="AU3" i="1" s="1"/>
  <c r="AU5" i="1"/>
  <c r="AU8" i="1" a="1"/>
  <c r="AU8" i="1" s="1"/>
  <c r="AU2" i="1" a="1"/>
  <c r="AU2" i="1" s="1"/>
  <c r="AU6" i="1" a="1"/>
  <c r="AU6" i="1" s="1"/>
  <c r="AH3" i="1" a="1"/>
  <c r="AH3" i="1" s="1"/>
  <c r="AH4" i="1" a="1"/>
  <c r="AH4" i="1" s="1"/>
  <c r="AH5" i="1"/>
  <c r="AH7" i="1" s="1"/>
  <c r="AH2" i="1" a="1"/>
  <c r="AH2" i="1" s="1"/>
  <c r="AH9" i="1" a="1"/>
  <c r="AH9" i="1" s="1"/>
  <c r="AH8" i="1" a="1"/>
  <c r="AH8" i="1" s="1"/>
  <c r="AH6" i="1" a="1"/>
  <c r="AH6" i="1" s="1"/>
  <c r="I3" i="1" a="1"/>
  <c r="I3" i="1" s="1"/>
  <c r="I4" i="1" a="1"/>
  <c r="I4" i="1" s="1"/>
  <c r="I5" i="1"/>
  <c r="I6" i="1" a="1"/>
  <c r="I6" i="1" s="1"/>
  <c r="I2" i="1" a="1"/>
  <c r="I2" i="1" s="1"/>
  <c r="I9" i="1" a="1"/>
  <c r="I9" i="1" s="1"/>
  <c r="I8" i="1" a="1"/>
  <c r="I8" i="1" s="1"/>
  <c r="U5" i="1"/>
  <c r="U6" i="1" a="1"/>
  <c r="U6" i="1" s="1"/>
  <c r="U3" i="1" a="1"/>
  <c r="U3" i="1" s="1"/>
  <c r="U2" i="1" a="1"/>
  <c r="U2" i="1" s="1"/>
  <c r="U8" i="1" a="1"/>
  <c r="U8" i="1" s="1"/>
  <c r="U9" i="1" a="1"/>
  <c r="U9" i="1" s="1"/>
  <c r="U4" i="1" a="1"/>
  <c r="U4" i="1" s="1"/>
  <c r="AG3" i="1" a="1"/>
  <c r="AG3" i="1" s="1"/>
  <c r="AG4" i="1" a="1"/>
  <c r="AG4" i="1" s="1"/>
  <c r="AG5" i="1"/>
  <c r="AG6" i="1" a="1"/>
  <c r="AG6" i="1" s="1"/>
  <c r="AG9" i="1" a="1"/>
  <c r="AG9" i="1" s="1"/>
  <c r="AG2" i="1" a="1"/>
  <c r="AG2" i="1" s="1"/>
  <c r="AG8" i="1" a="1"/>
  <c r="AG8" i="1" s="1"/>
  <c r="AS6" i="1" a="1"/>
  <c r="AS6" i="1" s="1"/>
  <c r="AS5" i="1"/>
  <c r="AS7" i="1" s="1"/>
  <c r="AS2" i="1" a="1"/>
  <c r="AS2" i="1" s="1"/>
  <c r="AS4" i="1" a="1"/>
  <c r="AS4" i="1" s="1"/>
  <c r="AS3" i="1" a="1"/>
  <c r="AS3" i="1" s="1"/>
  <c r="AS9" i="1" a="1"/>
  <c r="AS9" i="1" s="1"/>
  <c r="AS8" i="1" a="1"/>
  <c r="AS8" i="1" s="1"/>
  <c r="AT6" i="1" a="1"/>
  <c r="AT6" i="1" s="1"/>
  <c r="AT5" i="1"/>
  <c r="AT7" i="1" s="1"/>
  <c r="AT3" i="1" a="1"/>
  <c r="AT3" i="1" s="1"/>
  <c r="AT9" i="1" a="1"/>
  <c r="AT9" i="1" s="1"/>
  <c r="AT2" i="1" a="1"/>
  <c r="AT2" i="1" s="1"/>
  <c r="AT4" i="1" a="1"/>
  <c r="AT4" i="1" s="1"/>
  <c r="AT8" i="1" a="1"/>
  <c r="AT8" i="1" s="1"/>
  <c r="H9" i="1" a="1"/>
  <c r="H9" i="1" s="1"/>
  <c r="H8" i="1" a="1"/>
  <c r="H8" i="1" s="1"/>
  <c r="H6" i="1" a="1"/>
  <c r="H6" i="1" s="1"/>
  <c r="H4" i="1" a="1"/>
  <c r="H4" i="1" s="1"/>
  <c r="H3" i="1" a="1"/>
  <c r="H3" i="1" s="1"/>
  <c r="H2" i="1" a="1"/>
  <c r="H2" i="1" s="1"/>
  <c r="I7" i="1" l="1"/>
  <c r="AP7" i="1"/>
  <c r="AO7" i="1"/>
  <c r="P7" i="1"/>
  <c r="AM7" i="1"/>
  <c r="AF7" i="1"/>
  <c r="AQ7" i="1"/>
  <c r="AY7" i="1"/>
  <c r="R7" i="1"/>
  <c r="V7" i="1"/>
  <c r="BD7" i="1"/>
  <c r="AB7" i="1"/>
  <c r="U7" i="1"/>
  <c r="AR7" i="1"/>
  <c r="AV7" i="1"/>
  <c r="N7" i="1"/>
  <c r="BC7" i="1"/>
  <c r="M7" i="1"/>
  <c r="O7" i="1"/>
  <c r="X7" i="1"/>
  <c r="AG7" i="1"/>
  <c r="AU7" i="1"/>
  <c r="L7" i="1"/>
  <c r="J7" i="1"/>
  <c r="C4" i="2"/>
  <c r="C3" i="2"/>
  <c r="C7" i="2"/>
  <c r="C6" i="2"/>
  <c r="C2" i="2"/>
  <c r="AD54" i="2" s="1"/>
  <c r="CZ1" i="5"/>
  <c r="CZ2" i="5" s="1"/>
  <c r="CY1" i="5"/>
  <c r="CY2" i="5" s="1"/>
  <c r="CX1" i="5"/>
  <c r="CX2" i="5" s="1"/>
  <c r="CW1" i="5"/>
  <c r="CW2" i="5" s="1"/>
  <c r="CV1" i="5"/>
  <c r="CV2" i="5" s="1"/>
  <c r="CU1" i="5"/>
  <c r="CU2" i="5" s="1"/>
  <c r="CT1" i="5"/>
  <c r="CT2" i="5" s="1"/>
  <c r="CS1" i="5"/>
  <c r="CS2" i="5" s="1"/>
  <c r="CR1" i="5"/>
  <c r="CR2" i="5" s="1"/>
  <c r="CQ1" i="5"/>
  <c r="CQ2" i="5" s="1"/>
  <c r="CP1" i="5"/>
  <c r="CP2" i="5" s="1"/>
  <c r="CO1" i="5"/>
  <c r="CO2" i="5" s="1"/>
  <c r="CN1" i="5"/>
  <c r="CN2" i="5" s="1"/>
  <c r="CM1" i="5"/>
  <c r="CM2" i="5" s="1"/>
  <c r="CL1" i="5"/>
  <c r="CL2" i="5" s="1"/>
  <c r="CK1" i="5"/>
  <c r="CK2" i="5" s="1"/>
  <c r="CJ1" i="5"/>
  <c r="CJ2" i="5" s="1"/>
  <c r="CI1" i="5"/>
  <c r="CI2" i="5" s="1"/>
  <c r="CH1" i="5"/>
  <c r="CH2" i="5" s="1"/>
  <c r="CG1" i="5"/>
  <c r="CG2" i="5" s="1"/>
  <c r="CF1" i="5"/>
  <c r="CF2" i="5" s="1"/>
  <c r="CE1" i="5"/>
  <c r="CE2" i="5" s="1"/>
  <c r="CD1" i="5"/>
  <c r="CD2" i="5" s="1"/>
  <c r="CC1" i="5"/>
  <c r="CC2" i="5" s="1"/>
  <c r="CB1" i="5"/>
  <c r="CB2" i="5" s="1"/>
  <c r="CA1" i="5"/>
  <c r="CA2" i="5" s="1"/>
  <c r="BZ1" i="5"/>
  <c r="BZ2" i="5" s="1"/>
  <c r="BY1" i="5"/>
  <c r="BY2" i="5" s="1"/>
  <c r="BX1" i="5"/>
  <c r="BX2" i="5" s="1"/>
  <c r="BW1" i="5"/>
  <c r="BW2" i="5" s="1"/>
  <c r="BV1" i="5"/>
  <c r="BV2" i="5" s="1"/>
  <c r="BU1" i="5"/>
  <c r="BU2" i="5" s="1"/>
  <c r="BT1" i="5"/>
  <c r="BT2" i="5" s="1"/>
  <c r="BS1" i="5"/>
  <c r="BS2" i="5" s="1"/>
  <c r="BR1" i="5"/>
  <c r="BR2" i="5" s="1"/>
  <c r="BQ1" i="5"/>
  <c r="BQ2" i="5" s="1"/>
  <c r="BP1" i="5"/>
  <c r="BP2" i="5" s="1"/>
  <c r="BO1" i="5"/>
  <c r="BO2" i="5" s="1"/>
  <c r="BN1" i="5"/>
  <c r="BN2" i="5" s="1"/>
  <c r="BM1" i="5"/>
  <c r="BM2" i="5" s="1"/>
  <c r="BL1" i="5"/>
  <c r="BL2" i="5" s="1"/>
  <c r="BK1" i="5"/>
  <c r="BK2" i="5" s="1"/>
  <c r="BJ1" i="5"/>
  <c r="BJ2" i="5" s="1"/>
  <c r="BI1" i="5"/>
  <c r="BI2" i="5" s="1"/>
  <c r="BH1" i="5"/>
  <c r="BH2" i="5" s="1"/>
  <c r="BG1" i="5"/>
  <c r="BG2" i="5" s="1"/>
  <c r="BF1" i="5"/>
  <c r="BF2" i="5" s="1"/>
  <c r="BE1" i="5"/>
  <c r="BE2" i="5" s="1"/>
  <c r="BD1" i="5"/>
  <c r="BD2" i="5" s="1"/>
  <c r="BC1" i="5"/>
  <c r="BC2" i="5" s="1"/>
  <c r="BB1" i="5"/>
  <c r="BB2" i="5" s="1"/>
  <c r="BA1" i="5"/>
  <c r="BA2" i="5" s="1"/>
  <c r="AZ1" i="5"/>
  <c r="AZ2" i="5" s="1"/>
  <c r="AY1" i="5"/>
  <c r="AY2" i="5" s="1"/>
  <c r="AX1" i="5"/>
  <c r="AX2" i="5" s="1"/>
  <c r="AW1" i="5"/>
  <c r="AW2" i="5" s="1"/>
  <c r="AV1" i="5"/>
  <c r="AV2" i="5" s="1"/>
  <c r="AU1" i="5"/>
  <c r="AU2" i="5" s="1"/>
  <c r="AT1" i="5"/>
  <c r="AT2" i="5" s="1"/>
  <c r="AS1" i="5"/>
  <c r="AS2" i="5" s="1"/>
  <c r="AR1" i="5"/>
  <c r="AR2" i="5" s="1"/>
  <c r="AQ1" i="5"/>
  <c r="AQ2" i="5" s="1"/>
  <c r="AP1" i="5"/>
  <c r="AP2" i="5" s="1"/>
  <c r="AO1" i="5"/>
  <c r="AO2" i="5" s="1"/>
  <c r="AN1" i="5"/>
  <c r="AN2" i="5" s="1"/>
  <c r="AM1" i="5"/>
  <c r="AM2" i="5" s="1"/>
  <c r="AL1" i="5"/>
  <c r="AL2" i="5" s="1"/>
  <c r="AK1" i="5"/>
  <c r="AK2" i="5" s="1"/>
  <c r="AJ1" i="5"/>
  <c r="AJ2" i="5" s="1"/>
  <c r="AI1" i="5"/>
  <c r="AI2" i="5" s="1"/>
  <c r="AH1" i="5"/>
  <c r="AH2" i="5" s="1"/>
  <c r="AG1" i="5"/>
  <c r="AG2" i="5" s="1"/>
  <c r="AF1" i="5"/>
  <c r="AF2" i="5" s="1"/>
  <c r="AE1" i="5"/>
  <c r="AE2" i="5" s="1"/>
  <c r="AD1" i="5"/>
  <c r="AD2" i="5" s="1"/>
  <c r="AC1" i="5"/>
  <c r="AC2" i="5" s="1"/>
  <c r="AB1" i="5"/>
  <c r="AB2" i="5" s="1"/>
  <c r="AA1" i="5"/>
  <c r="AA2" i="5" s="1"/>
  <c r="Z1" i="5"/>
  <c r="Z2" i="5" s="1"/>
  <c r="Y1" i="5"/>
  <c r="Y2" i="5" s="1"/>
  <c r="X1" i="5"/>
  <c r="X2" i="5" s="1"/>
  <c r="W1" i="5"/>
  <c r="W2" i="5" s="1"/>
  <c r="V1" i="5"/>
  <c r="V2" i="5" s="1"/>
  <c r="U1" i="5"/>
  <c r="U2" i="5" s="1"/>
  <c r="T1" i="5"/>
  <c r="T2" i="5" s="1"/>
  <c r="S1" i="5"/>
  <c r="S2" i="5" s="1"/>
  <c r="R1" i="5"/>
  <c r="R2" i="5" s="1"/>
  <c r="Q1" i="5"/>
  <c r="Q2" i="5" s="1"/>
  <c r="P1" i="5"/>
  <c r="P2" i="5" s="1"/>
  <c r="O1" i="5"/>
  <c r="O2" i="5" s="1"/>
  <c r="P1" i="6"/>
  <c r="R1" i="6"/>
  <c r="H7" i="1" l="1"/>
  <c r="N1" i="5"/>
  <c r="N2" i="5" s="1"/>
  <c r="M1" i="5"/>
  <c r="M2" i="5" s="1"/>
  <c r="L1" i="5"/>
  <c r="L2" i="5" s="1"/>
  <c r="K1" i="5"/>
  <c r="K2" i="5" s="1"/>
  <c r="CF1" i="6"/>
  <c r="CF2" i="6" s="1"/>
  <c r="CZ1" i="6"/>
  <c r="CZ2" i="6" s="1"/>
  <c r="CY1" i="6"/>
  <c r="CY2" i="6" s="1"/>
  <c r="CX1" i="6"/>
  <c r="CX2" i="6" s="1"/>
  <c r="CW1" i="6"/>
  <c r="CW2" i="6" s="1"/>
  <c r="CV1" i="6"/>
  <c r="CV2" i="6" s="1"/>
  <c r="CU1" i="6"/>
  <c r="CU2" i="6" s="1"/>
  <c r="CT1" i="6"/>
  <c r="CT2" i="6" s="1"/>
  <c r="CS1" i="6"/>
  <c r="CS2" i="6" s="1"/>
  <c r="CR1" i="6"/>
  <c r="CR2" i="6" s="1"/>
  <c r="CQ1" i="6"/>
  <c r="CQ2" i="6" s="1"/>
  <c r="CP1" i="6"/>
  <c r="CP2" i="6" s="1"/>
  <c r="CO1" i="6"/>
  <c r="CO2" i="6" s="1"/>
  <c r="CN1" i="6"/>
  <c r="CN2" i="6" s="1"/>
  <c r="CM1" i="6"/>
  <c r="CM2" i="6" s="1"/>
  <c r="CL1" i="6"/>
  <c r="CL2" i="6" s="1"/>
  <c r="CK1" i="6"/>
  <c r="CK2" i="6" s="1"/>
  <c r="CJ1" i="6"/>
  <c r="CJ2" i="6" s="1"/>
  <c r="CI1" i="6"/>
  <c r="CI2" i="6" s="1"/>
  <c r="CH1" i="6"/>
  <c r="CH2" i="6" s="1"/>
  <c r="CG1" i="6"/>
  <c r="CG2" i="6" s="1"/>
  <c r="CE1" i="6"/>
  <c r="CE2" i="6" s="1"/>
  <c r="CD1" i="6"/>
  <c r="CD2" i="6" s="1"/>
  <c r="CC1" i="6"/>
  <c r="CC2" i="6" s="1"/>
  <c r="CB1" i="6"/>
  <c r="CB2" i="6" s="1"/>
  <c r="CA1" i="6"/>
  <c r="CA2" i="6" s="1"/>
  <c r="BZ1" i="6"/>
  <c r="BZ2" i="6" s="1"/>
  <c r="BY1" i="6"/>
  <c r="BY2" i="6" s="1"/>
  <c r="BX1" i="6"/>
  <c r="BX2" i="6" s="1"/>
  <c r="BW1" i="6"/>
  <c r="BW2" i="6" s="1"/>
  <c r="BV1" i="6"/>
  <c r="BV2" i="6" s="1"/>
  <c r="BU1" i="6"/>
  <c r="BU2" i="6" s="1"/>
  <c r="BT1" i="6"/>
  <c r="BT2" i="6" s="1"/>
  <c r="BS1" i="6"/>
  <c r="BS2" i="6" s="1"/>
  <c r="BR1" i="6"/>
  <c r="BR2" i="6" s="1"/>
  <c r="BQ1" i="6"/>
  <c r="BQ2" i="6" s="1"/>
  <c r="BP1" i="6"/>
  <c r="BP2" i="6" s="1"/>
  <c r="BO1" i="6"/>
  <c r="BO2" i="6" s="1"/>
  <c r="BN1" i="6"/>
  <c r="BN2" i="6" s="1"/>
  <c r="BM1" i="6"/>
  <c r="BM2" i="6" s="1"/>
  <c r="BL1" i="6"/>
  <c r="BL2" i="6" s="1"/>
  <c r="BK1" i="6"/>
  <c r="BK2" i="6" s="1"/>
  <c r="BI1" i="6"/>
  <c r="BI2" i="6" s="1"/>
  <c r="BJ1" i="6"/>
  <c r="BJ2" i="6" s="1"/>
  <c r="BH1" i="6"/>
  <c r="BH2" i="6" s="1"/>
  <c r="BG1" i="6"/>
  <c r="BG2" i="6" s="1"/>
  <c r="BF1" i="6"/>
  <c r="BF2" i="6" s="1"/>
  <c r="BE1" i="6"/>
  <c r="BE2" i="6" s="1"/>
  <c r="BD1" i="6"/>
  <c r="BD2" i="6" s="1"/>
  <c r="BC1" i="6"/>
  <c r="BC2" i="6" s="1"/>
  <c r="BB1" i="6"/>
  <c r="BB2" i="6" s="1"/>
  <c r="BA1" i="6"/>
  <c r="BA2" i="6" s="1"/>
  <c r="AZ1" i="6"/>
  <c r="AZ2" i="6" s="1"/>
  <c r="AY1" i="6"/>
  <c r="AY2" i="6" s="1"/>
  <c r="AX1" i="6"/>
  <c r="AX2" i="6" s="1"/>
  <c r="AW1" i="6"/>
  <c r="AW2" i="6" s="1"/>
  <c r="AV1" i="6"/>
  <c r="AV2" i="6" s="1"/>
  <c r="AU1" i="6"/>
  <c r="AU2" i="6" s="1"/>
  <c r="AT1" i="6"/>
  <c r="AT2" i="6" s="1"/>
  <c r="AS1" i="6"/>
  <c r="AS2" i="6" s="1"/>
  <c r="AR1" i="6"/>
  <c r="AR2" i="6" s="1"/>
  <c r="AQ1" i="6"/>
  <c r="AQ2" i="6" s="1"/>
  <c r="AP1" i="6"/>
  <c r="AP2" i="6" s="1"/>
  <c r="AO1" i="6"/>
  <c r="AO2" i="6" s="1"/>
  <c r="AN1" i="6"/>
  <c r="AN2" i="6" s="1"/>
  <c r="AM1" i="6"/>
  <c r="AM2" i="6" s="1"/>
  <c r="V1" i="6"/>
  <c r="V2" i="6" s="1"/>
  <c r="AL1" i="6"/>
  <c r="AL2" i="6" s="1"/>
  <c r="AK1" i="6"/>
  <c r="AK2" i="6" s="1"/>
  <c r="AJ1" i="6"/>
  <c r="AJ2" i="6" s="1"/>
  <c r="AI1" i="6"/>
  <c r="AI2" i="6" s="1"/>
  <c r="AH1" i="6"/>
  <c r="AH2" i="6" s="1"/>
  <c r="AG1" i="6"/>
  <c r="AG2" i="6" s="1"/>
  <c r="AF1" i="6"/>
  <c r="AF2" i="6" s="1"/>
  <c r="AE1" i="6"/>
  <c r="AE2" i="6" s="1"/>
  <c r="AD1" i="6"/>
  <c r="AD2" i="6" s="1"/>
  <c r="AC1" i="6"/>
  <c r="AC2" i="6" s="1"/>
  <c r="AB1" i="6"/>
  <c r="AB2" i="6" s="1"/>
  <c r="AA1" i="6"/>
  <c r="AA2" i="6" s="1"/>
  <c r="Z1" i="6"/>
  <c r="Z2" i="6" s="1"/>
  <c r="Y1" i="6"/>
  <c r="Y2" i="6" s="1"/>
  <c r="X1" i="6"/>
  <c r="X2" i="6" s="1"/>
  <c r="W1" i="6"/>
  <c r="W2" i="6" s="1"/>
  <c r="U1" i="6"/>
  <c r="U2" i="6" s="1"/>
  <c r="T1" i="6"/>
  <c r="T2" i="6" s="1"/>
  <c r="S1" i="6"/>
  <c r="S2" i="6" s="1"/>
  <c r="R2" i="6"/>
  <c r="Q1" i="6"/>
  <c r="Q2" i="6" s="1"/>
  <c r="K1" i="6"/>
  <c r="K2" i="6" s="1"/>
  <c r="L1" i="6"/>
  <c r="L2" i="6" s="1"/>
  <c r="N1" i="6"/>
  <c r="N2" i="6" s="1"/>
  <c r="M1" i="6"/>
  <c r="M2" i="6" s="1"/>
  <c r="P2" i="6"/>
  <c r="O1" i="6"/>
  <c r="O2" i="6" s="1"/>
  <c r="N11" i="2"/>
  <c r="C5" i="2" l="1"/>
  <c r="Q69" i="2"/>
  <c r="K39" i="2"/>
  <c r="E12" i="8" l="1"/>
  <c r="E11" i="8"/>
  <c r="E6" i="8"/>
  <c r="E7" i="8"/>
  <c r="E9" i="8"/>
  <c r="E5" i="8"/>
  <c r="D13" i="8"/>
  <c r="C13" i="8"/>
  <c r="D8" i="8"/>
  <c r="D10" i="8" s="1"/>
  <c r="C8" i="8"/>
  <c r="C10" i="8" s="1"/>
  <c r="C16" i="3"/>
  <c r="C14" i="3"/>
  <c r="C15" i="3"/>
  <c r="C13" i="3"/>
  <c r="C29" i="3"/>
  <c r="C27" i="3"/>
  <c r="C25" i="3"/>
  <c r="C23" i="3"/>
  <c r="C21" i="3"/>
  <c r="C19" i="3"/>
  <c r="C17" i="3"/>
  <c r="C11" i="3"/>
  <c r="C30" i="3"/>
  <c r="C28" i="3"/>
  <c r="C26" i="3"/>
  <c r="C24" i="3"/>
  <c r="C22" i="3"/>
  <c r="C20" i="3"/>
  <c r="C18" i="3"/>
  <c r="C12" i="3"/>
  <c r="P17" i="8"/>
  <c r="O17" i="8"/>
  <c r="N17" i="8"/>
  <c r="M17" i="8"/>
  <c r="L17" i="8"/>
  <c r="K17" i="8"/>
  <c r="J17" i="8"/>
  <c r="I17" i="8"/>
  <c r="H17" i="8"/>
  <c r="P16" i="8"/>
  <c r="O16" i="8"/>
  <c r="N16" i="8"/>
  <c r="M16" i="8"/>
  <c r="L16" i="8"/>
  <c r="K16" i="8"/>
  <c r="J16" i="8"/>
  <c r="I16" i="8"/>
  <c r="H16" i="8"/>
  <c r="P15" i="8"/>
  <c r="O15" i="8"/>
  <c r="N15" i="8"/>
  <c r="M15" i="8"/>
  <c r="L15" i="8"/>
  <c r="K15" i="8"/>
  <c r="J15" i="8"/>
  <c r="I15" i="8"/>
  <c r="H15" i="8"/>
  <c r="E13" i="8" l="1"/>
  <c r="E8" i="8"/>
  <c r="E10" i="8" s="1"/>
  <c r="E14" i="8" s="1"/>
  <c r="Q57" i="2" l="1"/>
  <c r="H50" i="4"/>
  <c r="G59" i="4" s="1"/>
  <c r="G81" i="3" s="1"/>
  <c r="I50" i="4"/>
  <c r="H59" i="4" s="1"/>
  <c r="H81" i="3" s="1"/>
  <c r="J50" i="4"/>
  <c r="I59" i="4" s="1"/>
  <c r="I81" i="3" s="1"/>
  <c r="K50" i="4"/>
  <c r="J59" i="4" s="1"/>
  <c r="J81" i="3" s="1"/>
  <c r="L50" i="4"/>
  <c r="K59" i="4" s="1"/>
  <c r="K81" i="3" s="1"/>
  <c r="M50" i="4"/>
  <c r="L59" i="4" s="1"/>
  <c r="L81" i="3" s="1"/>
  <c r="N50" i="4"/>
  <c r="M59" i="4" s="1"/>
  <c r="M81" i="3" s="1"/>
  <c r="O50" i="4"/>
  <c r="N59" i="4" s="1"/>
  <c r="N81" i="3" s="1"/>
  <c r="P50" i="4"/>
  <c r="O59" i="4" s="1"/>
  <c r="O81" i="3" s="1"/>
  <c r="Q50" i="4"/>
  <c r="P59" i="4" s="1"/>
  <c r="P81" i="3" s="1"/>
  <c r="G50" i="4"/>
  <c r="F59" i="4" s="1"/>
  <c r="F81" i="3" s="1"/>
  <c r="F50" i="4"/>
  <c r="E59" i="4" s="1"/>
  <c r="E81" i="3" s="1"/>
  <c r="E50" i="4"/>
  <c r="D59" i="4" s="1"/>
  <c r="E53" i="3" s="1"/>
  <c r="K73" i="3"/>
  <c r="L73" i="3"/>
  <c r="C51" i="7"/>
  <c r="C50" i="7"/>
  <c r="D77" i="3"/>
  <c r="D75" i="3"/>
  <c r="D73" i="3"/>
  <c r="D71" i="3"/>
  <c r="D49" i="3"/>
  <c r="D47" i="3"/>
  <c r="D45" i="3"/>
  <c r="D43" i="3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23" i="7" s="1"/>
  <c r="C18" i="7"/>
  <c r="C24" i="7" s="1"/>
  <c r="C19" i="7"/>
  <c r="C25" i="7" s="1"/>
  <c r="C4" i="7"/>
  <c r="D3" i="7"/>
  <c r="D19" i="7" s="1" a="1"/>
  <c r="D19" i="7" s="1"/>
  <c r="D25" i="7" s="1"/>
  <c r="P49" i="7"/>
  <c r="P58" i="7" s="1"/>
  <c r="P73" i="3" s="1"/>
  <c r="O49" i="7"/>
  <c r="O58" i="7" s="1"/>
  <c r="O73" i="3" s="1"/>
  <c r="N49" i="7"/>
  <c r="N58" i="7" s="1"/>
  <c r="N73" i="3" s="1"/>
  <c r="M49" i="7"/>
  <c r="M58" i="7" s="1"/>
  <c r="M73" i="3" s="1"/>
  <c r="L49" i="7"/>
  <c r="L58" i="7" s="1"/>
  <c r="K49" i="7"/>
  <c r="K58" i="7" s="1"/>
  <c r="J49" i="7"/>
  <c r="J58" i="7" s="1"/>
  <c r="J73" i="3" s="1"/>
  <c r="I49" i="7"/>
  <c r="I58" i="7" s="1"/>
  <c r="I73" i="3" s="1"/>
  <c r="H49" i="7"/>
  <c r="H58" i="7" s="1"/>
  <c r="H73" i="3" s="1"/>
  <c r="G49" i="7"/>
  <c r="G58" i="7" s="1"/>
  <c r="G73" i="3" s="1"/>
  <c r="F49" i="7"/>
  <c r="F58" i="7" s="1"/>
  <c r="F73" i="3" s="1"/>
  <c r="E49" i="7"/>
  <c r="E58" i="7" s="1"/>
  <c r="E73" i="3" s="1"/>
  <c r="D49" i="7"/>
  <c r="D58" i="7" s="1"/>
  <c r="E45" i="3" s="1"/>
  <c r="P48" i="7"/>
  <c r="P60" i="7" s="1"/>
  <c r="P77" i="3" s="1"/>
  <c r="O48" i="7"/>
  <c r="O60" i="7" s="1"/>
  <c r="O77" i="3" s="1"/>
  <c r="N48" i="7"/>
  <c r="N60" i="7" s="1"/>
  <c r="N77" i="3" s="1"/>
  <c r="M48" i="7"/>
  <c r="M60" i="7" s="1"/>
  <c r="M77" i="3" s="1"/>
  <c r="L48" i="7"/>
  <c r="L60" i="7" s="1"/>
  <c r="L77" i="3" s="1"/>
  <c r="K48" i="7"/>
  <c r="K60" i="7" s="1"/>
  <c r="K77" i="3" s="1"/>
  <c r="J48" i="7"/>
  <c r="J60" i="7" s="1"/>
  <c r="J77" i="3" s="1"/>
  <c r="I48" i="7"/>
  <c r="I60" i="7" s="1"/>
  <c r="I77" i="3" s="1"/>
  <c r="H48" i="7"/>
  <c r="H60" i="7" s="1"/>
  <c r="H77" i="3" s="1"/>
  <c r="G48" i="7"/>
  <c r="G60" i="7" s="1"/>
  <c r="G77" i="3" s="1"/>
  <c r="F48" i="7"/>
  <c r="F60" i="7" s="1"/>
  <c r="F77" i="3" s="1"/>
  <c r="E48" i="7"/>
  <c r="E60" i="7" s="1"/>
  <c r="E77" i="3" s="1"/>
  <c r="D48" i="7"/>
  <c r="D60" i="7" s="1"/>
  <c r="E49" i="3" s="1"/>
  <c r="P47" i="7"/>
  <c r="P59" i="7" s="1"/>
  <c r="P75" i="3" s="1"/>
  <c r="O47" i="7"/>
  <c r="O59" i="7" s="1"/>
  <c r="O75" i="3" s="1"/>
  <c r="N47" i="7"/>
  <c r="N59" i="7" s="1"/>
  <c r="N75" i="3" s="1"/>
  <c r="M47" i="7"/>
  <c r="M59" i="7" s="1"/>
  <c r="M75" i="3" s="1"/>
  <c r="L47" i="7"/>
  <c r="L59" i="7" s="1"/>
  <c r="L75" i="3" s="1"/>
  <c r="K47" i="7"/>
  <c r="K59" i="7" s="1"/>
  <c r="K75" i="3" s="1"/>
  <c r="J47" i="7"/>
  <c r="J59" i="7" s="1"/>
  <c r="J75" i="3" s="1"/>
  <c r="I47" i="7"/>
  <c r="I59" i="7" s="1"/>
  <c r="I75" i="3" s="1"/>
  <c r="H47" i="7"/>
  <c r="H59" i="7" s="1"/>
  <c r="H75" i="3" s="1"/>
  <c r="G47" i="7"/>
  <c r="G59" i="7" s="1"/>
  <c r="G75" i="3" s="1"/>
  <c r="F47" i="7"/>
  <c r="F59" i="7" s="1"/>
  <c r="F75" i="3" s="1"/>
  <c r="E47" i="7"/>
  <c r="E59" i="7" s="1"/>
  <c r="E75" i="3" s="1"/>
  <c r="D47" i="7"/>
  <c r="D59" i="7" s="1"/>
  <c r="E47" i="3" s="1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P34" i="7"/>
  <c r="O34" i="7"/>
  <c r="N34" i="7"/>
  <c r="M34" i="7"/>
  <c r="M51" i="7" s="1"/>
  <c r="L34" i="7"/>
  <c r="K34" i="7"/>
  <c r="J34" i="7"/>
  <c r="J50" i="7" s="1"/>
  <c r="I34" i="7"/>
  <c r="I51" i="7" s="1"/>
  <c r="H34" i="7"/>
  <c r="H51" i="7" s="1"/>
  <c r="G34" i="7"/>
  <c r="F34" i="7"/>
  <c r="E34" i="7"/>
  <c r="D34" i="7"/>
  <c r="D78" i="3"/>
  <c r="D76" i="3"/>
  <c r="D74" i="3"/>
  <c r="D72" i="3"/>
  <c r="F79" i="3"/>
  <c r="G79" i="3"/>
  <c r="H79" i="3"/>
  <c r="I79" i="3"/>
  <c r="J79" i="3"/>
  <c r="K79" i="3"/>
  <c r="L79" i="3"/>
  <c r="M79" i="3"/>
  <c r="N79" i="3"/>
  <c r="O79" i="3"/>
  <c r="P79" i="3"/>
  <c r="E79" i="3"/>
  <c r="D86" i="3"/>
  <c r="D84" i="3"/>
  <c r="D82" i="3"/>
  <c r="D85" i="3"/>
  <c r="D83" i="3"/>
  <c r="D81" i="3"/>
  <c r="D79" i="3"/>
  <c r="L39" i="2"/>
  <c r="L46" i="2" s="1"/>
  <c r="D50" i="3"/>
  <c r="D48" i="3"/>
  <c r="D46" i="3"/>
  <c r="D44" i="3"/>
  <c r="D51" i="3"/>
  <c r="D58" i="3"/>
  <c r="D56" i="3"/>
  <c r="D54" i="3"/>
  <c r="D57" i="3"/>
  <c r="D55" i="3"/>
  <c r="D53" i="3"/>
  <c r="D80" i="3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5" i="4" s="1"/>
  <c r="D52" i="4"/>
  <c r="D51" i="4"/>
  <c r="Q35" i="4"/>
  <c r="D52" i="3"/>
  <c r="D41" i="3"/>
  <c r="F50" i="7" l="1"/>
  <c r="G50" i="7"/>
  <c r="G51" i="7"/>
  <c r="K50" i="7"/>
  <c r="L51" i="7"/>
  <c r="K51" i="7"/>
  <c r="N50" i="7"/>
  <c r="O50" i="7"/>
  <c r="D51" i="7"/>
  <c r="P51" i="7"/>
  <c r="E51" i="7"/>
  <c r="O51" i="7"/>
  <c r="E25" i="7"/>
  <c r="E50" i="3" s="1"/>
  <c r="C22" i="7"/>
  <c r="H13" i="3"/>
  <c r="H15" i="3"/>
  <c r="P13" i="3"/>
  <c r="P15" i="3"/>
  <c r="L13" i="3"/>
  <c r="L15" i="3"/>
  <c r="H17" i="3"/>
  <c r="H21" i="3"/>
  <c r="H19" i="3"/>
  <c r="P17" i="3"/>
  <c r="P19" i="3"/>
  <c r="P21" i="3"/>
  <c r="L17" i="3"/>
  <c r="L19" i="3"/>
  <c r="L21" i="3"/>
  <c r="S13" i="3"/>
  <c r="S15" i="3"/>
  <c r="O15" i="3"/>
  <c r="O13" i="3"/>
  <c r="K15" i="3"/>
  <c r="K13" i="3"/>
  <c r="S19" i="3"/>
  <c r="S21" i="3"/>
  <c r="S17" i="3"/>
  <c r="O21" i="3"/>
  <c r="O19" i="3"/>
  <c r="O17" i="3"/>
  <c r="K19" i="3"/>
  <c r="K21" i="3"/>
  <c r="K17" i="3"/>
  <c r="R15" i="3"/>
  <c r="R13" i="3"/>
  <c r="N15" i="3"/>
  <c r="N13" i="3"/>
  <c r="J13" i="3"/>
  <c r="J15" i="3"/>
  <c r="R19" i="3"/>
  <c r="R17" i="3"/>
  <c r="R21" i="3"/>
  <c r="N19" i="3"/>
  <c r="N21" i="3"/>
  <c r="N17" i="3"/>
  <c r="J19" i="3"/>
  <c r="J21" i="3"/>
  <c r="J17" i="3"/>
  <c r="Q15" i="3"/>
  <c r="Q13" i="3"/>
  <c r="M15" i="3"/>
  <c r="M13" i="3"/>
  <c r="I15" i="3"/>
  <c r="I13" i="3"/>
  <c r="Q21" i="3"/>
  <c r="Q17" i="3"/>
  <c r="Q19" i="3"/>
  <c r="M21" i="3"/>
  <c r="M17" i="3"/>
  <c r="M19" i="3"/>
  <c r="I21" i="3"/>
  <c r="I17" i="3"/>
  <c r="I19" i="3"/>
  <c r="D13" i="3"/>
  <c r="D15" i="3"/>
  <c r="D8" i="7" a="1"/>
  <c r="D8" i="7" s="1"/>
  <c r="D12" i="7" a="1"/>
  <c r="D12" i="7" s="1"/>
  <c r="D16" i="7" a="1"/>
  <c r="D16" i="7" s="1"/>
  <c r="D4" i="7" a="1"/>
  <c r="D4" i="7" s="1"/>
  <c r="M50" i="7"/>
  <c r="D5" i="7" a="1"/>
  <c r="D5" i="7" s="1"/>
  <c r="D9" i="7" a="1"/>
  <c r="D9" i="7" s="1"/>
  <c r="D13" i="7" a="1"/>
  <c r="D13" i="7" s="1"/>
  <c r="D17" i="7" a="1"/>
  <c r="D17" i="7" s="1"/>
  <c r="D23" i="7" s="1"/>
  <c r="E23" i="7" s="1"/>
  <c r="P50" i="7"/>
  <c r="L50" i="7"/>
  <c r="L57" i="7" s="1"/>
  <c r="L71" i="3" s="1"/>
  <c r="H50" i="7"/>
  <c r="D50" i="7"/>
  <c r="D57" i="7" s="1"/>
  <c r="E43" i="3" s="1"/>
  <c r="N51" i="7"/>
  <c r="J51" i="7"/>
  <c r="F51" i="7"/>
  <c r="I50" i="7"/>
  <c r="E50" i="7"/>
  <c r="E57" i="7" s="1"/>
  <c r="E71" i="3" s="1"/>
  <c r="D6" i="7" a="1"/>
  <c r="D6" i="7" s="1"/>
  <c r="D10" i="7" a="1"/>
  <c r="D10" i="7" s="1"/>
  <c r="D14" i="7" a="1"/>
  <c r="D14" i="7" s="1"/>
  <c r="D18" i="7" a="1"/>
  <c r="D18" i="7" s="1"/>
  <c r="D24" i="7" s="1"/>
  <c r="E24" i="7" s="1"/>
  <c r="D7" i="7" a="1"/>
  <c r="D7" i="7" s="1"/>
  <c r="D11" i="7" a="1"/>
  <c r="D11" i="7" s="1"/>
  <c r="D15" i="7" a="1"/>
  <c r="D15" i="7" s="1"/>
  <c r="G57" i="7"/>
  <c r="G71" i="3" s="1"/>
  <c r="K57" i="7"/>
  <c r="K71" i="3" s="1"/>
  <c r="O57" i="7"/>
  <c r="O71" i="3" s="1"/>
  <c r="I57" i="7"/>
  <c r="I71" i="3" s="1"/>
  <c r="M57" i="7"/>
  <c r="M71" i="3" s="1"/>
  <c r="F57" i="7"/>
  <c r="F71" i="3" s="1"/>
  <c r="J57" i="7"/>
  <c r="J71" i="3" s="1"/>
  <c r="N57" i="7"/>
  <c r="N71" i="3" s="1"/>
  <c r="H57" i="7"/>
  <c r="H71" i="3" s="1"/>
  <c r="P57" i="7"/>
  <c r="P71" i="3" s="1"/>
  <c r="O78" i="3" l="1"/>
  <c r="N78" i="3"/>
  <c r="L78" i="3"/>
  <c r="P78" i="3"/>
  <c r="I78" i="3"/>
  <c r="M78" i="3"/>
  <c r="J78" i="3"/>
  <c r="E78" i="3"/>
  <c r="H78" i="3"/>
  <c r="K78" i="3"/>
  <c r="F78" i="3"/>
  <c r="G78" i="3"/>
  <c r="E48" i="3"/>
  <c r="H76" i="3"/>
  <c r="L76" i="3"/>
  <c r="P76" i="3"/>
  <c r="J76" i="3"/>
  <c r="G76" i="3"/>
  <c r="O76" i="3"/>
  <c r="I76" i="3"/>
  <c r="M76" i="3"/>
  <c r="E76" i="3"/>
  <c r="F76" i="3"/>
  <c r="N76" i="3"/>
  <c r="K76" i="3"/>
  <c r="E46" i="3"/>
  <c r="H74" i="3"/>
  <c r="L74" i="3"/>
  <c r="P74" i="3"/>
  <c r="F74" i="3"/>
  <c r="N74" i="3"/>
  <c r="O74" i="3"/>
  <c r="I74" i="3"/>
  <c r="M74" i="3"/>
  <c r="E74" i="3"/>
  <c r="J74" i="3"/>
  <c r="G74" i="3"/>
  <c r="K74" i="3"/>
  <c r="D22" i="7"/>
  <c r="E22" i="7" s="1"/>
  <c r="E44" i="3" l="1"/>
  <c r="H72" i="3"/>
  <c r="L72" i="3"/>
  <c r="P72" i="3"/>
  <c r="J72" i="3"/>
  <c r="K72" i="3"/>
  <c r="I72" i="3"/>
  <c r="M72" i="3"/>
  <c r="E72" i="3"/>
  <c r="F72" i="3"/>
  <c r="N72" i="3"/>
  <c r="G72" i="3"/>
  <c r="O72" i="3"/>
  <c r="E3" i="4" l="1"/>
  <c r="D4" i="4"/>
  <c r="D23" i="4"/>
  <c r="D24" i="4"/>
  <c r="E35" i="4"/>
  <c r="F35" i="4"/>
  <c r="G35" i="4"/>
  <c r="H35" i="4"/>
  <c r="I35" i="4"/>
  <c r="J35" i="4"/>
  <c r="K35" i="4"/>
  <c r="L35" i="4"/>
  <c r="M35" i="4"/>
  <c r="N35" i="4"/>
  <c r="O35" i="4"/>
  <c r="P35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E48" i="4"/>
  <c r="F48" i="4"/>
  <c r="E60" i="4" s="1"/>
  <c r="G48" i="4"/>
  <c r="F60" i="4" s="1"/>
  <c r="H48" i="4"/>
  <c r="I48" i="4"/>
  <c r="J48" i="4"/>
  <c r="K48" i="4"/>
  <c r="L48" i="4"/>
  <c r="M48" i="4"/>
  <c r="N48" i="4"/>
  <c r="O48" i="4"/>
  <c r="P48" i="4"/>
  <c r="Q48" i="4"/>
  <c r="E49" i="4"/>
  <c r="D61" i="4" s="1"/>
  <c r="E57" i="3" s="1"/>
  <c r="F49" i="4"/>
  <c r="E61" i="4" s="1"/>
  <c r="E85" i="3" s="1"/>
  <c r="G49" i="4"/>
  <c r="F61" i="4" s="1"/>
  <c r="F85" i="3" s="1"/>
  <c r="H49" i="4"/>
  <c r="G61" i="4" s="1"/>
  <c r="G85" i="3" s="1"/>
  <c r="I49" i="4"/>
  <c r="H61" i="4" s="1"/>
  <c r="H85" i="3" s="1"/>
  <c r="J49" i="4"/>
  <c r="I61" i="4" s="1"/>
  <c r="I85" i="3" s="1"/>
  <c r="K49" i="4"/>
  <c r="J61" i="4" s="1"/>
  <c r="J85" i="3" s="1"/>
  <c r="L49" i="4"/>
  <c r="K61" i="4" s="1"/>
  <c r="K85" i="3" s="1"/>
  <c r="M49" i="4"/>
  <c r="L61" i="4" s="1"/>
  <c r="L85" i="3" s="1"/>
  <c r="N49" i="4"/>
  <c r="M61" i="4" s="1"/>
  <c r="M85" i="3" s="1"/>
  <c r="O49" i="4"/>
  <c r="N61" i="4" s="1"/>
  <c r="N85" i="3" s="1"/>
  <c r="P49" i="4"/>
  <c r="O61" i="4" s="1"/>
  <c r="O85" i="3" s="1"/>
  <c r="Q49" i="4"/>
  <c r="P61" i="4" s="1"/>
  <c r="P85" i="3" s="1"/>
  <c r="J27" i="3" l="1"/>
  <c r="J29" i="3"/>
  <c r="J23" i="3"/>
  <c r="J25" i="3"/>
  <c r="I60" i="4"/>
  <c r="I83" i="3" s="1"/>
  <c r="L23" i="3"/>
  <c r="L27" i="3"/>
  <c r="L25" i="3"/>
  <c r="L29" i="3"/>
  <c r="I25" i="3"/>
  <c r="I27" i="3"/>
  <c r="I29" i="3"/>
  <c r="I23" i="3"/>
  <c r="G60" i="4"/>
  <c r="G83" i="3" s="1"/>
  <c r="K60" i="4"/>
  <c r="K83" i="3" s="1"/>
  <c r="H23" i="3"/>
  <c r="H27" i="3"/>
  <c r="H29" i="3"/>
  <c r="H25" i="3"/>
  <c r="M29" i="3"/>
  <c r="M25" i="3"/>
  <c r="M23" i="3"/>
  <c r="M27" i="3"/>
  <c r="R29" i="3"/>
  <c r="R23" i="3"/>
  <c r="R25" i="3"/>
  <c r="R27" i="3"/>
  <c r="P60" i="4"/>
  <c r="P83" i="3" s="1"/>
  <c r="D60" i="4"/>
  <c r="E55" i="3" s="1"/>
  <c r="K25" i="3"/>
  <c r="K29" i="3"/>
  <c r="K27" i="3"/>
  <c r="K23" i="3"/>
  <c r="Q29" i="3"/>
  <c r="Q23" i="3"/>
  <c r="Q25" i="3"/>
  <c r="Q27" i="3"/>
  <c r="O60" i="4"/>
  <c r="O83" i="3" s="1"/>
  <c r="S25" i="3"/>
  <c r="S29" i="3"/>
  <c r="S27" i="3"/>
  <c r="S23" i="3"/>
  <c r="P29" i="3"/>
  <c r="P23" i="3"/>
  <c r="P25" i="3"/>
  <c r="P27" i="3"/>
  <c r="N60" i="4"/>
  <c r="N83" i="3" s="1"/>
  <c r="H60" i="4"/>
  <c r="H83" i="3" s="1"/>
  <c r="O25" i="3"/>
  <c r="O29" i="3"/>
  <c r="O27" i="3"/>
  <c r="O23" i="3"/>
  <c r="M60" i="4"/>
  <c r="M83" i="3" s="1"/>
  <c r="J60" i="4"/>
  <c r="J83" i="3" s="1"/>
  <c r="D27" i="3"/>
  <c r="D25" i="3"/>
  <c r="D23" i="3"/>
  <c r="D29" i="3"/>
  <c r="N27" i="3"/>
  <c r="N23" i="3"/>
  <c r="N29" i="3"/>
  <c r="N25" i="3"/>
  <c r="L60" i="4"/>
  <c r="L83" i="3" s="1"/>
  <c r="L52" i="4"/>
  <c r="L51" i="4"/>
  <c r="H51" i="4"/>
  <c r="H52" i="4"/>
  <c r="F83" i="3"/>
  <c r="O52" i="4"/>
  <c r="O51" i="4"/>
  <c r="K52" i="4"/>
  <c r="K51" i="4"/>
  <c r="G52" i="4"/>
  <c r="G51" i="4"/>
  <c r="E83" i="3"/>
  <c r="N51" i="4"/>
  <c r="N52" i="4"/>
  <c r="J52" i="4"/>
  <c r="J51" i="4"/>
  <c r="F51" i="4"/>
  <c r="F52" i="4"/>
  <c r="P52" i="4"/>
  <c r="P51" i="4"/>
  <c r="Q51" i="4"/>
  <c r="Q52" i="4"/>
  <c r="M51" i="4"/>
  <c r="M52" i="4"/>
  <c r="I51" i="4"/>
  <c r="I52" i="4"/>
  <c r="E51" i="4"/>
  <c r="D58" i="4" s="1"/>
  <c r="E51" i="3" s="1"/>
  <c r="E52" i="4"/>
  <c r="E19" i="4" a="1"/>
  <c r="E19" i="4" s="1"/>
  <c r="E25" i="4" s="1"/>
  <c r="F25" i="4" s="1"/>
  <c r="E18" i="4" a="1"/>
  <c r="E18" i="4" s="1"/>
  <c r="E24" i="4" s="1"/>
  <c r="F24" i="4" s="1"/>
  <c r="E17" i="4" a="1"/>
  <c r="E17" i="4" s="1"/>
  <c r="E23" i="4" s="1"/>
  <c r="F23" i="4" s="1"/>
  <c r="E16" i="4" a="1"/>
  <c r="E16" i="4" s="1"/>
  <c r="D22" i="4"/>
  <c r="E8" i="4" a="1"/>
  <c r="E8" i="4" s="1"/>
  <c r="E5" i="4" a="1"/>
  <c r="E5" i="4" s="1"/>
  <c r="E13" i="4" a="1"/>
  <c r="E13" i="4" s="1"/>
  <c r="E6" i="4" a="1"/>
  <c r="E6" i="4" s="1"/>
  <c r="E10" i="4" a="1"/>
  <c r="E10" i="4" s="1"/>
  <c r="E14" i="4" a="1"/>
  <c r="E14" i="4" s="1"/>
  <c r="E12" i="4" a="1"/>
  <c r="E12" i="4" s="1"/>
  <c r="E9" i="4" a="1"/>
  <c r="E9" i="4" s="1"/>
  <c r="E7" i="4" a="1"/>
  <c r="E7" i="4" s="1"/>
  <c r="E11" i="4" a="1"/>
  <c r="E11" i="4" s="1"/>
  <c r="E15" i="4" a="1"/>
  <c r="E15" i="4" s="1"/>
  <c r="E4" i="4" a="1"/>
  <c r="E4" i="4" s="1"/>
  <c r="D17" i="3" l="1"/>
  <c r="D21" i="3"/>
  <c r="D19" i="3"/>
  <c r="E54" i="3"/>
  <c r="D16" i="3" s="1"/>
  <c r="F82" i="3"/>
  <c r="J82" i="3"/>
  <c r="N82" i="3"/>
  <c r="M82" i="3"/>
  <c r="G82" i="3"/>
  <c r="K82" i="3"/>
  <c r="O82" i="3"/>
  <c r="E82" i="3"/>
  <c r="H82" i="3"/>
  <c r="L82" i="3"/>
  <c r="P82" i="3"/>
  <c r="I82" i="3"/>
  <c r="E56" i="3"/>
  <c r="F84" i="3"/>
  <c r="J84" i="3"/>
  <c r="N84" i="3"/>
  <c r="G84" i="3"/>
  <c r="K84" i="3"/>
  <c r="O84" i="3"/>
  <c r="E84" i="3"/>
  <c r="H84" i="3"/>
  <c r="L84" i="3"/>
  <c r="P84" i="3"/>
  <c r="I84" i="3"/>
  <c r="M84" i="3"/>
  <c r="E58" i="3"/>
  <c r="F86" i="3"/>
  <c r="J86" i="3"/>
  <c r="N86" i="3"/>
  <c r="G86" i="3"/>
  <c r="K86" i="3"/>
  <c r="O86" i="3"/>
  <c r="M86" i="3"/>
  <c r="E86" i="3"/>
  <c r="H86" i="3"/>
  <c r="L86" i="3"/>
  <c r="P86" i="3"/>
  <c r="I86" i="3"/>
  <c r="E22" i="4"/>
  <c r="F22" i="4" s="1"/>
  <c r="K24" i="3" l="1"/>
  <c r="K26" i="3"/>
  <c r="K28" i="3"/>
  <c r="K30" i="3"/>
  <c r="N26" i="3"/>
  <c r="N30" i="3"/>
  <c r="N24" i="3"/>
  <c r="N28" i="3"/>
  <c r="I28" i="3"/>
  <c r="I30" i="3"/>
  <c r="I24" i="3"/>
  <c r="I26" i="3"/>
  <c r="L30" i="3"/>
  <c r="L24" i="3"/>
  <c r="L28" i="3"/>
  <c r="L26" i="3"/>
  <c r="H30" i="3"/>
  <c r="H26" i="3"/>
  <c r="H24" i="3"/>
  <c r="H28" i="3"/>
  <c r="J26" i="3"/>
  <c r="J28" i="3"/>
  <c r="J30" i="3"/>
  <c r="J24" i="3"/>
  <c r="R26" i="3"/>
  <c r="R30" i="3"/>
  <c r="R24" i="3"/>
  <c r="R28" i="3"/>
  <c r="S24" i="3"/>
  <c r="S26" i="3"/>
  <c r="S28" i="3"/>
  <c r="S30" i="3"/>
  <c r="P30" i="3"/>
  <c r="P26" i="3"/>
  <c r="P28" i="3"/>
  <c r="P24" i="3"/>
  <c r="Q28" i="3"/>
  <c r="Q24" i="3"/>
  <c r="Q26" i="3"/>
  <c r="Q30" i="3"/>
  <c r="O24" i="3"/>
  <c r="O28" i="3"/>
  <c r="O26" i="3"/>
  <c r="O30" i="3"/>
  <c r="M28" i="3"/>
  <c r="M30" i="3"/>
  <c r="M26" i="3"/>
  <c r="M24" i="3"/>
  <c r="D30" i="3"/>
  <c r="D26" i="3"/>
  <c r="D24" i="3"/>
  <c r="D28" i="3"/>
  <c r="D18" i="3"/>
  <c r="D22" i="3"/>
  <c r="D20" i="3"/>
  <c r="D14" i="3"/>
  <c r="E52" i="3"/>
  <c r="F80" i="3"/>
  <c r="J80" i="3"/>
  <c r="N80" i="3"/>
  <c r="G80" i="3"/>
  <c r="K80" i="3"/>
  <c r="O80" i="3"/>
  <c r="M80" i="3"/>
  <c r="H80" i="3"/>
  <c r="L80" i="3"/>
  <c r="P80" i="3"/>
  <c r="I80" i="3"/>
  <c r="E80" i="3"/>
  <c r="O18" i="3" l="1"/>
  <c r="O20" i="3"/>
  <c r="O22" i="3"/>
  <c r="N22" i="3"/>
  <c r="N18" i="3"/>
  <c r="N20" i="3"/>
  <c r="I18" i="3"/>
  <c r="I20" i="3"/>
  <c r="I22" i="3"/>
  <c r="H22" i="3"/>
  <c r="H18" i="3"/>
  <c r="H20" i="3"/>
  <c r="K18" i="3"/>
  <c r="K20" i="3"/>
  <c r="K22" i="3"/>
  <c r="J18" i="3"/>
  <c r="J22" i="3"/>
  <c r="J20" i="3"/>
  <c r="L18" i="3"/>
  <c r="L20" i="3"/>
  <c r="L22" i="3"/>
  <c r="P20" i="3"/>
  <c r="P22" i="3"/>
  <c r="P18" i="3"/>
  <c r="Q20" i="3"/>
  <c r="Q18" i="3"/>
  <c r="Q22" i="3"/>
  <c r="S20" i="3"/>
  <c r="S22" i="3"/>
  <c r="S18" i="3"/>
  <c r="R22" i="3"/>
  <c r="R20" i="3"/>
  <c r="R18" i="3"/>
  <c r="M20" i="3"/>
  <c r="M22" i="3"/>
  <c r="M18" i="3"/>
  <c r="P16" i="3"/>
  <c r="P14" i="3"/>
  <c r="S14" i="3"/>
  <c r="S16" i="3"/>
  <c r="M16" i="3"/>
  <c r="M14" i="3"/>
  <c r="L14" i="3"/>
  <c r="L16" i="3"/>
  <c r="R14" i="3"/>
  <c r="R16" i="3"/>
  <c r="O16" i="3"/>
  <c r="O14" i="3"/>
  <c r="N14" i="3"/>
  <c r="N16" i="3"/>
  <c r="I14" i="3"/>
  <c r="I16" i="3"/>
  <c r="Q16" i="3"/>
  <c r="Q14" i="3"/>
  <c r="H14" i="3"/>
  <c r="H16" i="3"/>
  <c r="K14" i="3"/>
  <c r="K16" i="3"/>
  <c r="J14" i="3"/>
  <c r="J16" i="3"/>
  <c r="D37" i="3"/>
  <c r="D38" i="3"/>
  <c r="D39" i="3"/>
  <c r="D40" i="3"/>
  <c r="D42" i="3"/>
  <c r="D65" i="3"/>
  <c r="D66" i="3"/>
  <c r="D67" i="3"/>
  <c r="D68" i="3"/>
  <c r="D69" i="3"/>
  <c r="D70" i="3"/>
  <c r="E37" i="3"/>
  <c r="E39" i="3"/>
  <c r="E41" i="3"/>
  <c r="E65" i="3"/>
  <c r="E67" i="3"/>
  <c r="E69" i="3"/>
  <c r="P69" i="3"/>
  <c r="O69" i="3"/>
  <c r="N69" i="3"/>
  <c r="M69" i="3"/>
  <c r="L69" i="3"/>
  <c r="K69" i="3"/>
  <c r="J69" i="3"/>
  <c r="I69" i="3"/>
  <c r="H69" i="3"/>
  <c r="G69" i="3"/>
  <c r="F69" i="3"/>
  <c r="P67" i="3"/>
  <c r="O67" i="3"/>
  <c r="N67" i="3"/>
  <c r="M67" i="3"/>
  <c r="L67" i="3"/>
  <c r="K67" i="3"/>
  <c r="J67" i="3"/>
  <c r="I67" i="3"/>
  <c r="H67" i="3"/>
  <c r="G67" i="3"/>
  <c r="F67" i="3"/>
  <c r="P65" i="3"/>
  <c r="O65" i="3"/>
  <c r="N65" i="3"/>
  <c r="M65" i="3"/>
  <c r="L65" i="3"/>
  <c r="K65" i="3"/>
  <c r="J65" i="3"/>
  <c r="I65" i="3"/>
  <c r="H65" i="3"/>
  <c r="G65" i="3"/>
  <c r="F65" i="3"/>
  <c r="R85" i="2"/>
  <c r="S85" i="2"/>
  <c r="T85" i="2"/>
  <c r="U85" i="2"/>
  <c r="V85" i="2"/>
  <c r="W85" i="2"/>
  <c r="X85" i="2"/>
  <c r="Y85" i="2"/>
  <c r="Z85" i="2"/>
  <c r="AA85" i="2"/>
  <c r="AB85" i="2"/>
  <c r="R86" i="2"/>
  <c r="S86" i="2"/>
  <c r="T86" i="2"/>
  <c r="U86" i="2"/>
  <c r="V86" i="2"/>
  <c r="W86" i="2"/>
  <c r="X86" i="2"/>
  <c r="Y86" i="2"/>
  <c r="Z86" i="2"/>
  <c r="AA86" i="2"/>
  <c r="AB86" i="2"/>
  <c r="R87" i="2"/>
  <c r="S87" i="2"/>
  <c r="T87" i="2"/>
  <c r="U87" i="2"/>
  <c r="V87" i="2"/>
  <c r="W87" i="2"/>
  <c r="X87" i="2"/>
  <c r="Y87" i="2"/>
  <c r="Z87" i="2"/>
  <c r="AA87" i="2"/>
  <c r="AB87" i="2"/>
  <c r="R88" i="2"/>
  <c r="S88" i="2"/>
  <c r="T88" i="2"/>
  <c r="U88" i="2"/>
  <c r="V88" i="2"/>
  <c r="W88" i="2"/>
  <c r="X88" i="2"/>
  <c r="Y88" i="2"/>
  <c r="Z88" i="2"/>
  <c r="AA88" i="2"/>
  <c r="AB88" i="2"/>
  <c r="R89" i="2"/>
  <c r="S89" i="2"/>
  <c r="T89" i="2"/>
  <c r="U89" i="2"/>
  <c r="V89" i="2"/>
  <c r="W89" i="2"/>
  <c r="X89" i="2"/>
  <c r="Y89" i="2"/>
  <c r="Z89" i="2"/>
  <c r="AA89" i="2"/>
  <c r="AB89" i="2"/>
  <c r="R90" i="2"/>
  <c r="S90" i="2"/>
  <c r="T90" i="2"/>
  <c r="U90" i="2"/>
  <c r="V90" i="2"/>
  <c r="W90" i="2"/>
  <c r="X90" i="2"/>
  <c r="Y90" i="2"/>
  <c r="Z90" i="2"/>
  <c r="AA90" i="2"/>
  <c r="AB90" i="2"/>
  <c r="R91" i="2"/>
  <c r="S91" i="2"/>
  <c r="T91" i="2"/>
  <c r="U91" i="2"/>
  <c r="V91" i="2"/>
  <c r="W91" i="2"/>
  <c r="X91" i="2"/>
  <c r="Y91" i="2"/>
  <c r="Z91" i="2"/>
  <c r="AA91" i="2"/>
  <c r="AB91" i="2"/>
  <c r="Q86" i="2"/>
  <c r="Q87" i="2"/>
  <c r="Q88" i="2"/>
  <c r="Q89" i="2"/>
  <c r="Q90" i="2"/>
  <c r="Q91" i="2"/>
  <c r="Q85" i="2"/>
  <c r="R69" i="2"/>
  <c r="S69" i="2"/>
  <c r="T69" i="2"/>
  <c r="U69" i="2"/>
  <c r="V69" i="2"/>
  <c r="W69" i="2"/>
  <c r="X69" i="2"/>
  <c r="Y69" i="2"/>
  <c r="Z69" i="2"/>
  <c r="AA69" i="2"/>
  <c r="AB69" i="2"/>
  <c r="R70" i="2"/>
  <c r="S70" i="2"/>
  <c r="T70" i="2"/>
  <c r="U70" i="2"/>
  <c r="V70" i="2"/>
  <c r="W70" i="2"/>
  <c r="X70" i="2"/>
  <c r="Y70" i="2"/>
  <c r="Z70" i="2"/>
  <c r="AA70" i="2"/>
  <c r="AB70" i="2"/>
  <c r="R71" i="2"/>
  <c r="S71" i="2"/>
  <c r="T71" i="2"/>
  <c r="U71" i="2"/>
  <c r="V71" i="2"/>
  <c r="W71" i="2"/>
  <c r="X71" i="2"/>
  <c r="Y71" i="2"/>
  <c r="Z71" i="2"/>
  <c r="AA71" i="2"/>
  <c r="AB71" i="2"/>
  <c r="R72" i="2"/>
  <c r="S72" i="2"/>
  <c r="T72" i="2"/>
  <c r="U72" i="2"/>
  <c r="V72" i="2"/>
  <c r="W72" i="2"/>
  <c r="X72" i="2"/>
  <c r="Y72" i="2"/>
  <c r="Z72" i="2"/>
  <c r="AA72" i="2"/>
  <c r="AB72" i="2"/>
  <c r="R73" i="2"/>
  <c r="S73" i="2"/>
  <c r="T73" i="2"/>
  <c r="U73" i="2"/>
  <c r="V73" i="2"/>
  <c r="W73" i="2"/>
  <c r="X73" i="2"/>
  <c r="Y73" i="2"/>
  <c r="Z73" i="2"/>
  <c r="AA73" i="2"/>
  <c r="AB73" i="2"/>
  <c r="R74" i="2"/>
  <c r="S74" i="2"/>
  <c r="T74" i="2"/>
  <c r="U74" i="2"/>
  <c r="V74" i="2"/>
  <c r="W74" i="2"/>
  <c r="X74" i="2"/>
  <c r="Y74" i="2"/>
  <c r="Z74" i="2"/>
  <c r="AA74" i="2"/>
  <c r="AB74" i="2"/>
  <c r="R75" i="2"/>
  <c r="S75" i="2"/>
  <c r="T75" i="2"/>
  <c r="U75" i="2"/>
  <c r="V75" i="2"/>
  <c r="W75" i="2"/>
  <c r="X75" i="2"/>
  <c r="Y75" i="2"/>
  <c r="Z75" i="2"/>
  <c r="AA75" i="2"/>
  <c r="AB75" i="2"/>
  <c r="Q70" i="2"/>
  <c r="Q71" i="2"/>
  <c r="Q72" i="2"/>
  <c r="Q73" i="2"/>
  <c r="Q74" i="2"/>
  <c r="Q75" i="2"/>
  <c r="I11" i="2"/>
  <c r="N25" i="2"/>
  <c r="N39" i="2"/>
  <c r="R57" i="2"/>
  <c r="S57" i="2"/>
  <c r="T57" i="2"/>
  <c r="U57" i="2"/>
  <c r="V57" i="2"/>
  <c r="W57" i="2"/>
  <c r="X57" i="2"/>
  <c r="Y57" i="2"/>
  <c r="Z57" i="2"/>
  <c r="AA57" i="2"/>
  <c r="AB57" i="2"/>
  <c r="Q58" i="2"/>
  <c r="R58" i="2"/>
  <c r="S58" i="2"/>
  <c r="T58" i="2"/>
  <c r="U58" i="2"/>
  <c r="V58" i="2"/>
  <c r="W58" i="2"/>
  <c r="X58" i="2"/>
  <c r="Y58" i="2"/>
  <c r="Z58" i="2"/>
  <c r="AA58" i="2"/>
  <c r="AB58" i="2"/>
  <c r="R54" i="2"/>
  <c r="S54" i="2"/>
  <c r="T54" i="2"/>
  <c r="U54" i="2"/>
  <c r="V54" i="2"/>
  <c r="W54" i="2"/>
  <c r="X54" i="2"/>
  <c r="Y54" i="2"/>
  <c r="Z54" i="2"/>
  <c r="AA54" i="2"/>
  <c r="AB54" i="2"/>
  <c r="R55" i="2"/>
  <c r="S55" i="2"/>
  <c r="T55" i="2"/>
  <c r="U55" i="2"/>
  <c r="V55" i="2"/>
  <c r="W55" i="2"/>
  <c r="X55" i="2"/>
  <c r="Y55" i="2"/>
  <c r="Z55" i="2"/>
  <c r="AA55" i="2"/>
  <c r="AB55" i="2"/>
  <c r="R56" i="2"/>
  <c r="S56" i="2"/>
  <c r="T56" i="2"/>
  <c r="U56" i="2"/>
  <c r="V56" i="2"/>
  <c r="W56" i="2"/>
  <c r="X56" i="2"/>
  <c r="Y56" i="2"/>
  <c r="Z56" i="2"/>
  <c r="AA56" i="2"/>
  <c r="AB56" i="2"/>
  <c r="R59" i="2"/>
  <c r="S59" i="2"/>
  <c r="T59" i="2"/>
  <c r="U59" i="2"/>
  <c r="V59" i="2"/>
  <c r="W59" i="2"/>
  <c r="X59" i="2"/>
  <c r="Y59" i="2"/>
  <c r="Z59" i="2"/>
  <c r="AA59" i="2"/>
  <c r="AB59" i="2"/>
  <c r="R60" i="2"/>
  <c r="S60" i="2"/>
  <c r="T60" i="2"/>
  <c r="U60" i="2"/>
  <c r="V60" i="2"/>
  <c r="W60" i="2"/>
  <c r="X60" i="2"/>
  <c r="Y60" i="2"/>
  <c r="Z60" i="2"/>
  <c r="AA60" i="2"/>
  <c r="AB60" i="2"/>
  <c r="Q55" i="2"/>
  <c r="Q56" i="2"/>
  <c r="Q59" i="2"/>
  <c r="Q60" i="2"/>
  <c r="Q54" i="2"/>
  <c r="I11" i="3" l="1"/>
  <c r="N26" i="2"/>
  <c r="AD74" i="2"/>
  <c r="N16" i="2"/>
  <c r="AD90" i="2"/>
  <c r="N30" i="2"/>
  <c r="N44" i="2"/>
  <c r="N12" i="2"/>
  <c r="AD59" i="2"/>
  <c r="AD89" i="2"/>
  <c r="AD75" i="2"/>
  <c r="AD58" i="2"/>
  <c r="N42" i="2"/>
  <c r="N29" i="2"/>
  <c r="N31" i="2"/>
  <c r="N45" i="2"/>
  <c r="AD85" i="2"/>
  <c r="N43" i="2"/>
  <c r="N17" i="2"/>
  <c r="AD73" i="2"/>
  <c r="AD60" i="2"/>
  <c r="N40" i="2"/>
  <c r="N14" i="2"/>
  <c r="N28" i="2"/>
  <c r="N15" i="2"/>
  <c r="AD91" i="2"/>
  <c r="AD69" i="2"/>
  <c r="M11" i="3"/>
  <c r="Q76" i="2"/>
  <c r="Q11" i="3"/>
  <c r="J11" i="3"/>
  <c r="R11" i="3"/>
  <c r="K11" i="3"/>
  <c r="O11" i="3"/>
  <c r="S11" i="3"/>
  <c r="L11" i="3"/>
  <c r="P11" i="3"/>
  <c r="H11" i="3"/>
  <c r="N11" i="3"/>
  <c r="D11" i="3"/>
  <c r="W92" i="2"/>
  <c r="S92" i="2"/>
  <c r="AA92" i="2"/>
  <c r="Z92" i="2"/>
  <c r="V92" i="2"/>
  <c r="R92" i="2"/>
  <c r="Q92" i="2"/>
  <c r="Y92" i="2"/>
  <c r="U92" i="2"/>
  <c r="AB92" i="2"/>
  <c r="X92" i="2"/>
  <c r="T92" i="2"/>
  <c r="Y76" i="2"/>
  <c r="U76" i="2"/>
  <c r="Z76" i="2"/>
  <c r="V76" i="2"/>
  <c r="R76" i="2"/>
  <c r="AB76" i="2"/>
  <c r="X76" i="2"/>
  <c r="T76" i="2"/>
  <c r="AA76" i="2"/>
  <c r="W76" i="2"/>
  <c r="S76" i="2"/>
  <c r="Q61" i="2"/>
  <c r="U61" i="2"/>
  <c r="AB61" i="2"/>
  <c r="X61" i="2"/>
  <c r="T61" i="2"/>
  <c r="Y61" i="2"/>
  <c r="S61" i="2"/>
  <c r="AA61" i="2"/>
  <c r="W61" i="2"/>
  <c r="Z61" i="2"/>
  <c r="V61" i="2"/>
  <c r="R61" i="2"/>
  <c r="F41" i="3"/>
  <c r="G41" i="3"/>
  <c r="H41" i="3"/>
  <c r="F39" i="3"/>
  <c r="G39" i="3"/>
  <c r="H39" i="3"/>
  <c r="F37" i="3"/>
  <c r="G37" i="3"/>
  <c r="H37" i="3"/>
  <c r="G11" i="3" l="1"/>
  <c r="F11" i="3"/>
  <c r="E11" i="3"/>
  <c r="J39" i="2"/>
  <c r="K46" i="2"/>
  <c r="I41" i="2"/>
  <c r="I44" i="2"/>
  <c r="J25" i="2"/>
  <c r="K25" i="2"/>
  <c r="L25" i="2"/>
  <c r="J26" i="2"/>
  <c r="K26" i="2"/>
  <c r="L26" i="2"/>
  <c r="J27" i="2"/>
  <c r="K27" i="2"/>
  <c r="L27" i="2"/>
  <c r="J28" i="2"/>
  <c r="K28" i="2"/>
  <c r="L28" i="2"/>
  <c r="J30" i="2"/>
  <c r="K30" i="2"/>
  <c r="L30" i="2"/>
  <c r="J31" i="2"/>
  <c r="K31" i="2"/>
  <c r="L31" i="2"/>
  <c r="I26" i="2"/>
  <c r="I27" i="2"/>
  <c r="I28" i="2"/>
  <c r="I30" i="2"/>
  <c r="I31" i="2"/>
  <c r="I25" i="2"/>
  <c r="J11" i="2"/>
  <c r="K11" i="2"/>
  <c r="L11" i="2"/>
  <c r="J12" i="2"/>
  <c r="K12" i="2"/>
  <c r="L12" i="2"/>
  <c r="J13" i="2"/>
  <c r="K13" i="2"/>
  <c r="L13" i="2"/>
  <c r="J14" i="2"/>
  <c r="K14" i="2"/>
  <c r="L14" i="2"/>
  <c r="J15" i="2"/>
  <c r="K15" i="2"/>
  <c r="L15" i="2"/>
  <c r="J16" i="2"/>
  <c r="K16" i="2"/>
  <c r="L16" i="2"/>
  <c r="J17" i="2"/>
  <c r="K17" i="2"/>
  <c r="L17" i="2"/>
  <c r="I12" i="2"/>
  <c r="I13" i="2"/>
  <c r="I14" i="2"/>
  <c r="I15" i="2"/>
  <c r="I16" i="2"/>
  <c r="I17" i="2"/>
  <c r="AD86" i="2" l="1"/>
  <c r="AD55" i="2"/>
  <c r="AD72" i="2"/>
  <c r="N13" i="2"/>
  <c r="AD70" i="2"/>
  <c r="N27" i="2"/>
  <c r="K33" i="2" s="1"/>
  <c r="G40" i="3" s="1"/>
  <c r="AD88" i="2"/>
  <c r="AD57" i="2"/>
  <c r="N41" i="2"/>
  <c r="J18" i="2"/>
  <c r="I46" i="2"/>
  <c r="J46" i="2"/>
  <c r="J32" i="2"/>
  <c r="L32" i="2"/>
  <c r="K32" i="2"/>
  <c r="I32" i="2"/>
  <c r="L18" i="2"/>
  <c r="K18" i="2"/>
  <c r="I18" i="2"/>
  <c r="AD56" i="2"/>
  <c r="AD71" i="2"/>
  <c r="AD87" i="2"/>
  <c r="I33" i="2" l="1"/>
  <c r="E40" i="3" s="1"/>
  <c r="I19" i="2"/>
  <c r="E38" i="3" s="1"/>
  <c r="L19" i="2"/>
  <c r="H38" i="3" s="1"/>
  <c r="K19" i="2"/>
  <c r="G38" i="3" s="1"/>
  <c r="L33" i="2"/>
  <c r="H40" i="3" s="1"/>
  <c r="J33" i="2"/>
  <c r="F40" i="3" s="1"/>
  <c r="J19" i="2"/>
  <c r="F38" i="3" s="1"/>
  <c r="Z93" i="2"/>
  <c r="N70" i="3" s="1"/>
  <c r="U93" i="2"/>
  <c r="I70" i="3" s="1"/>
  <c r="AB93" i="2"/>
  <c r="P70" i="3" s="1"/>
  <c r="X93" i="2"/>
  <c r="L70" i="3" s="1"/>
  <c r="S93" i="2"/>
  <c r="G70" i="3" s="1"/>
  <c r="Q93" i="2"/>
  <c r="E70" i="3" s="1"/>
  <c r="Y93" i="2"/>
  <c r="M70" i="3" s="1"/>
  <c r="V93" i="2"/>
  <c r="J70" i="3" s="1"/>
  <c r="R93" i="2"/>
  <c r="F70" i="3" s="1"/>
  <c r="W93" i="2"/>
  <c r="K70" i="3" s="1"/>
  <c r="T93" i="2"/>
  <c r="H70" i="3" s="1"/>
  <c r="AA93" i="2"/>
  <c r="O70" i="3" s="1"/>
  <c r="AB62" i="2"/>
  <c r="P66" i="3" s="1"/>
  <c r="Q62" i="2"/>
  <c r="E66" i="3" s="1"/>
  <c r="Z62" i="2"/>
  <c r="N66" i="3" s="1"/>
  <c r="V62" i="2"/>
  <c r="J66" i="3" s="1"/>
  <c r="AA62" i="2"/>
  <c r="O66" i="3" s="1"/>
  <c r="R62" i="2"/>
  <c r="F66" i="3" s="1"/>
  <c r="W62" i="2"/>
  <c r="K66" i="3" s="1"/>
  <c r="X62" i="2"/>
  <c r="L66" i="3" s="1"/>
  <c r="T62" i="2"/>
  <c r="H66" i="3" s="1"/>
  <c r="U62" i="2"/>
  <c r="I66" i="3" s="1"/>
  <c r="S62" i="2"/>
  <c r="G66" i="3" s="1"/>
  <c r="Y62" i="2"/>
  <c r="M66" i="3" s="1"/>
  <c r="I47" i="2"/>
  <c r="E42" i="3" s="1"/>
  <c r="L47" i="2"/>
  <c r="H42" i="3" s="1"/>
  <c r="Z77" i="2"/>
  <c r="N68" i="3" s="1"/>
  <c r="AA77" i="2"/>
  <c r="O68" i="3" s="1"/>
  <c r="AB77" i="2"/>
  <c r="P68" i="3" s="1"/>
  <c r="X77" i="2"/>
  <c r="L68" i="3" s="1"/>
  <c r="Q77" i="2"/>
  <c r="E68" i="3" s="1"/>
  <c r="Y77" i="2"/>
  <c r="M68" i="3" s="1"/>
  <c r="U77" i="2"/>
  <c r="I68" i="3" s="1"/>
  <c r="V77" i="2"/>
  <c r="J68" i="3" s="1"/>
  <c r="R77" i="2"/>
  <c r="F68" i="3" s="1"/>
  <c r="S77" i="2"/>
  <c r="G68" i="3" s="1"/>
  <c r="T77" i="2"/>
  <c r="H68" i="3" s="1"/>
  <c r="W77" i="2"/>
  <c r="K68" i="3" s="1"/>
  <c r="K47" i="2"/>
  <c r="G42" i="3" s="1"/>
  <c r="J47" i="2"/>
  <c r="F42" i="3" s="1"/>
  <c r="D12" i="3" l="1"/>
  <c r="J12" i="3"/>
  <c r="N12" i="3"/>
  <c r="L12" i="3"/>
  <c r="I12" i="3"/>
  <c r="H12" i="3"/>
  <c r="Q12" i="3"/>
  <c r="K12" i="3"/>
  <c r="R12" i="3"/>
  <c r="S12" i="3"/>
  <c r="P12" i="3"/>
  <c r="O12" i="3"/>
  <c r="M12" i="3"/>
  <c r="F12" i="3"/>
  <c r="E12" i="3"/>
  <c r="G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Yunis Ebner</author>
  </authors>
  <commentList>
    <comment ref="AD56" authorId="0" shapeId="0" xr:uid="{432846F5-53EE-49D6-A27C-47D593D0E8BB}">
      <text>
        <r>
          <rPr>
            <b/>
            <sz val="9"/>
            <color indexed="81"/>
            <rFont val="Tahoma"/>
            <family val="2"/>
          </rPr>
          <t>Obs:</t>
        </r>
        <r>
          <rPr>
            <sz val="9"/>
            <color indexed="81"/>
            <rFont val="Tahoma"/>
            <family val="2"/>
          </rPr>
          <t xml:space="preserve"> costo variable (diésel) representa un 51% del costo total, costo fijo (nuevo grupo generador) un 49% del costo total</t>
        </r>
      </text>
    </comment>
    <comment ref="AD71" authorId="0" shapeId="0" xr:uid="{8E73F0B4-5363-4F3C-8E2F-3725754BD4C5}">
      <text>
        <r>
          <rPr>
            <b/>
            <sz val="9"/>
            <color indexed="81"/>
            <rFont val="Tahoma"/>
            <family val="2"/>
          </rPr>
          <t>Obs:</t>
        </r>
        <r>
          <rPr>
            <sz val="9"/>
            <color indexed="81"/>
            <rFont val="Tahoma"/>
            <family val="2"/>
          </rPr>
          <t xml:space="preserve"> costo variable (diésel) representa un 51% del costo total, costo fijo (nuevo grupo generador) un 49% del costo total</t>
        </r>
      </text>
    </comment>
    <comment ref="AD87" authorId="0" shapeId="0" xr:uid="{2B56E34A-A26A-4F80-94D4-C8117B41BB68}">
      <text>
        <r>
          <rPr>
            <b/>
            <sz val="9"/>
            <color indexed="81"/>
            <rFont val="Tahoma"/>
            <family val="2"/>
          </rPr>
          <t>Obs:</t>
        </r>
        <r>
          <rPr>
            <sz val="9"/>
            <color indexed="81"/>
            <rFont val="Tahoma"/>
            <family val="2"/>
          </rPr>
          <t xml:space="preserve"> costo variable (diésel) representa un 51% del costo total, costo fijo (nuevo grupo generador) un 49% del costo total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<sst xmlns="http://schemas.openxmlformats.org/spreadsheetml/2006/main" count="802" uniqueCount="261">
  <si>
    <t>La presente herramienta tiene como objetivo calcular y permitir actualizar periódicamente los resultados de la estimación realizada de Costos de Falla de corta y larga duración para el SEN y los SSMM. A continuación, se detalla el contenido de cada una de las hojas.</t>
  </si>
  <si>
    <t>Hojas</t>
  </si>
  <si>
    <t>Descripción</t>
  </si>
  <si>
    <t>Resultados</t>
  </si>
  <si>
    <t>Presenta el cálculo de Costo de Falla de Corta y Larga Duración, para los distintos Sistemas (SEN, SSMM Hornopirén, Cochamó, Palena, Aysén, General Carrera, Punta Arenas, Puerto Natales, Porvenir y Puerto Williams), como también se muestra el detalle por sector (Minería, Industria, Servicios, Comercio y Residencial).</t>
  </si>
  <si>
    <t>Mes Año Costo de Falla</t>
  </si>
  <si>
    <t>Hoja donde se ingresa el mes y año al que se desea estimar el costo de falla.</t>
  </si>
  <si>
    <t>Ingreso Tarifas BT1</t>
  </si>
  <si>
    <t>Hoja donde se ingresan los precios de la energía y el cargo de transporte para actualizar las variables de indexación del sector Residencial.</t>
  </si>
  <si>
    <t>Ingreso Tarifas AT4.3</t>
  </si>
  <si>
    <t>Hoja donde se ingresan los precios de la energía y el cargo de transporte para actualizar las variables de indexación del sector Comercio.</t>
  </si>
  <si>
    <t>Ingreso Index Min, Indus y Serv</t>
  </si>
  <si>
    <t>Hoja donde se ingresan los indexadores para actualizar los costos de los sectores Minería, Industria y Servicios.</t>
  </si>
  <si>
    <t>Select Index Min, Indust y Serv</t>
  </si>
  <si>
    <t>Hoja donde se seleccionan de manera automática los datos a utilizar para estimar los costos para los distintos sectores (Minería, Industria y Servicio).</t>
  </si>
  <si>
    <t>Participación por Sistema</t>
  </si>
  <si>
    <t>Se presentan los porcentajes (%) asociados a los retiros de clientes por tipo de actividades para el SEN y para los SSMM, de acuerdo a lo presentado en la sección 9.3 del Informe.</t>
  </si>
  <si>
    <t>Encuesta Min, Indust y Serv</t>
  </si>
  <si>
    <t>Hoja donde se presenta el cálculo de costo de falla mediante el método de Encuestas para el sector Minería, Industria y Servicios, de acuerdo a lo presentado en la sección 9.2 del Informe.</t>
  </si>
  <si>
    <t>Econométrico Comercio</t>
  </si>
  <si>
    <t>Hoja donde se presenta el cálculo de costo de falla mediante el método de econométrico para el sector Comercio, de acuerdo a lo presentado en la sección 9.1 del Informe.</t>
  </si>
  <si>
    <t>Econométrico Residencial</t>
  </si>
  <si>
    <t>Hoja donde se presenta el cálculo de costo de falla mediante el método de econométrico para el sector Residencial, de acuerdo a lo presentado en la sección 9.1 del Informe.</t>
  </si>
  <si>
    <t>Instrucciones para actualizar valores de Costos de Falla (paso a paso)</t>
  </si>
  <si>
    <r>
      <t xml:space="preserve">Los parámetros de entrada se deben ingresar en las hojas de </t>
    </r>
    <r>
      <rPr>
        <b/>
        <sz val="9"/>
        <color theme="9"/>
        <rFont val="Open Sans"/>
        <family val="2"/>
      </rPr>
      <t>color verde</t>
    </r>
    <r>
      <rPr>
        <b/>
        <sz val="9"/>
        <color theme="1"/>
        <rFont val="Open Sans"/>
        <family val="2"/>
      </rPr>
      <t>. Las hojas de color gris contienen datos y cálculos que no se deben modificar y por esa razón se encuentran se encuentran completamente protegidas dichas hojas.</t>
    </r>
  </si>
  <si>
    <r>
      <rPr>
        <b/>
        <sz val="9"/>
        <color theme="1"/>
        <rFont val="Calibri"/>
        <family val="2"/>
        <scheme val="minor"/>
      </rPr>
      <t>Paso 1:</t>
    </r>
    <r>
      <rPr>
        <sz val="9"/>
        <color theme="1"/>
        <rFont val="Calibri"/>
        <family val="2"/>
        <scheme val="minor"/>
      </rPr>
      <t xml:space="preserve"> Ingresar mes y año para el cual se desea estimar el nuevo valor de costo de falla en la hoja "Mes Año Costo de Falla". Esto creará de manera automática los campos a completar en las demás hojas.</t>
    </r>
  </si>
  <si>
    <r>
      <rPr>
        <b/>
        <sz val="9"/>
        <color theme="1"/>
        <rFont val="Calibri"/>
        <family val="2"/>
        <scheme val="minor"/>
      </rPr>
      <t xml:space="preserve">Paso 2: </t>
    </r>
    <r>
      <rPr>
        <sz val="9"/>
        <color theme="1"/>
        <rFont val="Calibri"/>
        <family val="2"/>
        <scheme val="minor"/>
      </rPr>
      <t>Ingresar los precios de la energía y el cargo de transporte actualizados en la hoja "Ingreso Tarifas BT1". Para esto, se debe ingresar a la página web especificada en la columna "Fuente" (columna H) y se deben buscar los datos a la fecha deseada. Se debe buscar el valor para la tarifa BT1, comuna especificada en la columna E y para la tarifa (dentro de BT1) especificada en la columna G.</t>
    </r>
  </si>
  <si>
    <r>
      <rPr>
        <b/>
        <sz val="9"/>
        <color theme="1"/>
        <rFont val="Calibri"/>
        <family val="2"/>
        <scheme val="minor"/>
      </rPr>
      <t>Paso 3:</t>
    </r>
    <r>
      <rPr>
        <sz val="9"/>
        <color theme="1"/>
        <rFont val="Calibri"/>
        <family val="2"/>
        <scheme val="minor"/>
      </rPr>
      <t xml:space="preserve"> Ingresar los precios de la energía y el cargo de transporte actualizados en la hoja "Ingreso Tarifas AT4.3". Para esto, se debe ingresar a la página web especificada en la columna "Fuente" (columna H) y se deben buscar los datos para la fecha deseada. Se debe buscar el valor para la tarifa AT4.3, comuna especificada en la columna E y para la tarifa (dentro de AT4.3) especificada en la columna G.</t>
    </r>
  </si>
  <si>
    <r>
      <rPr>
        <b/>
        <sz val="9"/>
        <color theme="1"/>
        <rFont val="Calibri"/>
        <family val="2"/>
        <scheme val="minor"/>
      </rPr>
      <t>Paso 4:</t>
    </r>
    <r>
      <rPr>
        <sz val="9"/>
        <color theme="1"/>
        <rFont val="Calibri"/>
        <family val="2"/>
        <scheme val="minor"/>
      </rPr>
      <t xml:space="preserve"> Ingresar los indexadores actualizados en la hoja "Ingreso Index Min, Indus y Serv". Para esto, se debe ingresar a las páginas web especificadas en la columna "Fuente" (columna C) y buscar los valores más actuales disponibles, teniendo en consideración el año base mencionado en la columna "Base" (columna D).</t>
    </r>
  </si>
  <si>
    <r>
      <rPr>
        <b/>
        <sz val="9"/>
        <color theme="1"/>
        <rFont val="Calibri"/>
        <family val="2"/>
        <scheme val="minor"/>
      </rPr>
      <t>Paso 5:</t>
    </r>
    <r>
      <rPr>
        <sz val="9"/>
        <color theme="1"/>
        <rFont val="Calibri"/>
        <family val="2"/>
        <scheme val="minor"/>
      </rPr>
      <t xml:space="preserve"> Ir a la hoja "Resultados" y seleccionar el mes-año haciendo click en la celda D6, que contiene un menú desplegable, y seleccionar la fecha a consultar.</t>
    </r>
  </si>
  <si>
    <r>
      <rPr>
        <i/>
        <sz val="9"/>
        <color theme="1"/>
        <rFont val="Calibri"/>
        <family val="2"/>
        <scheme val="minor"/>
      </rPr>
      <t>OBS:</t>
    </r>
    <r>
      <rPr>
        <sz val="9"/>
        <color theme="1"/>
        <rFont val="Calibri"/>
        <family val="2"/>
        <scheme val="minor"/>
      </rPr>
      <t xml:space="preserve"> Los pasos 2, 3 y 4 se pueden realizar en el orden que más le acomode, pero es importante asegurarse de completar todos los datos para la nueva fecha. </t>
    </r>
  </si>
  <si>
    <t>Seleccione mes</t>
  </si>
  <si>
    <t xml:space="preserve"> Costo Falla de Corta Duración ($/kWh)</t>
  </si>
  <si>
    <t>Costo de Falla de Larga Duración ($/kWh)</t>
  </si>
  <si>
    <t>Sistema</t>
  </si>
  <si>
    <t>Mes Año</t>
  </si>
  <si>
    <t>Corte 20 minutos</t>
  </si>
  <si>
    <t>Corte 1 hora</t>
  </si>
  <si>
    <t>Corte 4 horas</t>
  </si>
  <si>
    <t>Corte 24 horas</t>
  </si>
  <si>
    <t>1 Mes</t>
  </si>
  <si>
    <t>2 Meses</t>
  </si>
  <si>
    <t>10 Meses</t>
  </si>
  <si>
    <t>SEN</t>
  </si>
  <si>
    <t>SSMM Hornopirén</t>
  </si>
  <si>
    <t>SSMM Cochamó</t>
  </si>
  <si>
    <t>SSMM Palena</t>
  </si>
  <si>
    <t>SSMM Aysén</t>
  </si>
  <si>
    <t>SSMM General Carrera</t>
  </si>
  <si>
    <t>SSMM Punta Arenas</t>
  </si>
  <si>
    <t>SSMM Puerto Natales</t>
  </si>
  <si>
    <t>SSMM Porvenir</t>
  </si>
  <si>
    <t>SSMM Puerto Williams</t>
  </si>
  <si>
    <t>Detalle por sector y sistema</t>
  </si>
  <si>
    <t>Sector</t>
  </si>
  <si>
    <t>Minería</t>
  </si>
  <si>
    <t>Industria</t>
  </si>
  <si>
    <t>Servicios</t>
  </si>
  <si>
    <t>Comercio</t>
  </si>
  <si>
    <t>SSMM Cochamó y Hornopirén</t>
  </si>
  <si>
    <t>SSMM Aysén (Aysén, General Carrera y Palena)</t>
  </si>
  <si>
    <t xml:space="preserve">SSMM Magallanes (Punta Arenas, Puerto Natales, Porvenir y Puerto Williams) </t>
  </si>
  <si>
    <t>Residencial</t>
  </si>
  <si>
    <t>Ingrese mes-año para el cual desea estimar el Costo de Falla</t>
  </si>
  <si>
    <t>% consumo Chile</t>
  </si>
  <si>
    <t>% consumo SEN</t>
  </si>
  <si>
    <t>Comuna</t>
  </si>
  <si>
    <t>Empresa</t>
  </si>
  <si>
    <t xml:space="preserve">Tarifa </t>
  </si>
  <si>
    <t>Fuente</t>
  </si>
  <si>
    <t>Cargo por energía
($/kWh)</t>
  </si>
  <si>
    <t>Cargo por transmisión
($/kWh)</t>
  </si>
  <si>
    <t>Arica y Parinacota</t>
  </si>
  <si>
    <t>Arica</t>
  </si>
  <si>
    <t>Emelari</t>
  </si>
  <si>
    <t xml:space="preserve">STxA-1-A </t>
  </si>
  <si>
    <t>https://www.cge.cl/informacion-comercial/tarifas-y-procesos-tarifarios/tarifa-de-suministro/</t>
  </si>
  <si>
    <t>Tarapacá</t>
  </si>
  <si>
    <t>Iquique</t>
  </si>
  <si>
    <t>Eliqsa</t>
  </si>
  <si>
    <t>Antofagasta</t>
  </si>
  <si>
    <t>Elecda</t>
  </si>
  <si>
    <t>Atacama</t>
  </si>
  <si>
    <t>Copiapó</t>
  </si>
  <si>
    <t>Emelat</t>
  </si>
  <si>
    <t>STxB-1-A</t>
  </si>
  <si>
    <t>Coquimbo</t>
  </si>
  <si>
    <t>Conafe</t>
  </si>
  <si>
    <t>STxB-2-A</t>
  </si>
  <si>
    <t>Metropolitana</t>
  </si>
  <si>
    <t>Santiago</t>
  </si>
  <si>
    <t>Enel distribución</t>
  </si>
  <si>
    <t>BT_AA</t>
  </si>
  <si>
    <t>https://www.enel.cl/es/clientes/informacion-util/tarifas-y-reglamentos/tarifas.html</t>
  </si>
  <si>
    <t>Valparaíso</t>
  </si>
  <si>
    <t>Chilquinta</t>
  </si>
  <si>
    <t>Aéreo C0</t>
  </si>
  <si>
    <t>https://www.chilquinta.cl/valor-tarifas</t>
  </si>
  <si>
    <t>O'Higgins</t>
  </si>
  <si>
    <t>Rancagua</t>
  </si>
  <si>
    <t>CGE distribución</t>
  </si>
  <si>
    <t>STxE-1-A</t>
  </si>
  <si>
    <t>El Maule</t>
  </si>
  <si>
    <t>Talca</t>
  </si>
  <si>
    <t>STxE-7-A</t>
  </si>
  <si>
    <t>Bio Bio</t>
  </si>
  <si>
    <t>Concepción</t>
  </si>
  <si>
    <t>STxE-2-A</t>
  </si>
  <si>
    <t>Araucanía</t>
  </si>
  <si>
    <t xml:space="preserve">Temuco </t>
  </si>
  <si>
    <t>STxE-9-A</t>
  </si>
  <si>
    <t>Los Ríos</t>
  </si>
  <si>
    <t>Valdivia</t>
  </si>
  <si>
    <t>SAESA</t>
  </si>
  <si>
    <t>Aéreo</t>
  </si>
  <si>
    <t>https://www.gruposaesa.cl/saesa/tarifas-vigentes</t>
  </si>
  <si>
    <t>Los Lagos</t>
  </si>
  <si>
    <t>Puerto Montt</t>
  </si>
  <si>
    <t>Aysén</t>
  </si>
  <si>
    <t>n/a</t>
  </si>
  <si>
    <t>Cohaique</t>
  </si>
  <si>
    <t>Edelaysen</t>
  </si>
  <si>
    <t>Cargo por energía</t>
  </si>
  <si>
    <t>https://www.gruposaesa.cl/edelaysen/tarifas-vigentes</t>
  </si>
  <si>
    <t>Magallanes</t>
  </si>
  <si>
    <t>Punta Arenas</t>
  </si>
  <si>
    <t>Edelmag</t>
  </si>
  <si>
    <t>http://www.edelmag.cl/informacion-comercial/tarifas-y-opciones-tarifarias/tarifas-de-suministros/</t>
  </si>
  <si>
    <t>Cochamó y Hornopirén</t>
  </si>
  <si>
    <t>Hualaihué</t>
  </si>
  <si>
    <t xml:space="preserve">Fuente </t>
  </si>
  <si>
    <t>Base</t>
  </si>
  <si>
    <t>ÍNDICE DE PRECIOS AL PRODUCTOR (IPP)</t>
  </si>
  <si>
    <t>https://www.ine.cl/estadisticas/economia/indices-de-precio-e-inflacion/indice-de-precios-de-productor</t>
  </si>
  <si>
    <t>Analítico Industrias sin cobre</t>
  </si>
  <si>
    <t>Industria Manufacturera</t>
  </si>
  <si>
    <t>PRECIO DIESEL (US$/M3)</t>
  </si>
  <si>
    <t>https://www.cne.cl/nuestros-servicios/licitaciones-y-suministros/</t>
  </si>
  <si>
    <t>na</t>
  </si>
  <si>
    <t>Precio paridad</t>
  </si>
  <si>
    <t>PROMEDIO PRECIO DIESEL 6 meses</t>
  </si>
  <si>
    <t>TIPO DE CAMBIO PROMEDIO MENSUAL</t>
  </si>
  <si>
    <t>https://si3.bcentral.cl/estadisticas/Principal1/excel/EC/PARIDADES/excel.html</t>
  </si>
  <si>
    <t>Producer Price Index (IPP) by Commodity: Machinery and Equipment: Motors, Generators, Motor Generator</t>
  </si>
  <si>
    <t>https://fred.stlouisfed.org/series/WPU1173</t>
  </si>
  <si>
    <t>Machinery and Equipment</t>
  </si>
  <si>
    <t>ÍNDICE DE PRECIOS AL CONSUMIDOR (IPC)</t>
  </si>
  <si>
    <t>https://www.ine.cl/estadisticas/economia/indices-de-precio-e-inflacion/indice-de-precios-al-consumidor</t>
  </si>
  <si>
    <t>IPC GENERAL</t>
  </si>
  <si>
    <t>Etiqueta</t>
  </si>
  <si>
    <t>Considera Valores</t>
  </si>
  <si>
    <t>IPP Analítico Industria sin cobre</t>
  </si>
  <si>
    <t>4 meses antes</t>
  </si>
  <si>
    <t>IPP Minería</t>
  </si>
  <si>
    <t>IPP Industria Manufacturera</t>
  </si>
  <si>
    <t>Promedio 6 meses comenzando tres meses antes de la fecha de indexación</t>
  </si>
  <si>
    <t>mes anterior</t>
  </si>
  <si>
    <t>PRECIO DIESEL ($/M3)</t>
  </si>
  <si>
    <t>Precio diésel (pesos)</t>
  </si>
  <si>
    <t>PPI by Commodity: Machinery and Equipment: Motors, Generators, Motor Generator</t>
  </si>
  <si>
    <t>3 meses antes</t>
  </si>
  <si>
    <t>IPC</t>
  </si>
  <si>
    <t>2 meses antes</t>
  </si>
  <si>
    <t>SSMM</t>
  </si>
  <si>
    <t>RETIROS DE CLIENTES SEN POR TIPO DE ACTIVIDAD - Julio 2019</t>
  </si>
  <si>
    <t>Región</t>
  </si>
  <si>
    <t>Sector/Tipo Cliente</t>
  </si>
  <si>
    <t>Número</t>
  </si>
  <si>
    <t>GWh</t>
  </si>
  <si>
    <t>% Retiro</t>
  </si>
  <si>
    <t>Comunas</t>
  </si>
  <si>
    <t>Cochamó</t>
  </si>
  <si>
    <t>Palena-Futaleufú-Chaitén</t>
  </si>
  <si>
    <t>Aysén-Coyhaique</t>
  </si>
  <si>
    <t>Cochrane-Chile Chico</t>
  </si>
  <si>
    <t>Natales</t>
  </si>
  <si>
    <t>Porvenir</t>
  </si>
  <si>
    <t>Puerto Williams</t>
  </si>
  <si>
    <t>Sistemas</t>
  </si>
  <si>
    <t>Hornopirén</t>
  </si>
  <si>
    <t>Palena</t>
  </si>
  <si>
    <t>General Carrera</t>
  </si>
  <si>
    <t>Puerto Natales</t>
  </si>
  <si>
    <t>Consumos Julio 2019 (MWh)</t>
  </si>
  <si>
    <t>Comercio¹</t>
  </si>
  <si>
    <t>Libre-Distribuidora</t>
  </si>
  <si>
    <t>Residenciales</t>
  </si>
  <si>
    <t>Sub Total Cls. Libres</t>
  </si>
  <si>
    <t>No Residenciales</t>
  </si>
  <si>
    <t xml:space="preserve">  Residenciales</t>
  </si>
  <si>
    <t>Totales</t>
  </si>
  <si>
    <t xml:space="preserve">  No Residenciales</t>
  </si>
  <si>
    <t xml:space="preserve">Sub Total Cls. Regulados </t>
  </si>
  <si>
    <t>Distribución de Consumos Julio 2019 (%)</t>
  </si>
  <si>
    <t>Total Retiros SEN</t>
  </si>
  <si>
    <t>¹Incluye Inmobiliaria</t>
  </si>
  <si>
    <t>Variable de Indexación</t>
  </si>
  <si>
    <t>Corte 24 hora</t>
  </si>
  <si>
    <t>c) Costo SS Recup (M$)</t>
  </si>
  <si>
    <t>c) Costo SS Recup (%)</t>
  </si>
  <si>
    <t>d) Pérdida de producción a Valor Agregado (M$)</t>
  </si>
  <si>
    <t>d) Pérdida de producción a Valor Agregado (%)</t>
  </si>
  <si>
    <t>e)  Costo autogen (M$)</t>
  </si>
  <si>
    <t>e)  Costo autogen (%)</t>
  </si>
  <si>
    <t>f) Costo reparac daños (M$)</t>
  </si>
  <si>
    <t>f) Costo reparac daños (%)</t>
  </si>
  <si>
    <t>i) Daños o peligros (M$)</t>
  </si>
  <si>
    <t>i) Daños o peligros (%)</t>
  </si>
  <si>
    <t>j) Molestias a clientes (M$)</t>
  </si>
  <si>
    <t>j) Molestias a clientes (%)</t>
  </si>
  <si>
    <t>k) Otros costos (M$)</t>
  </si>
  <si>
    <t>k) Otros costos (%)</t>
  </si>
  <si>
    <t>Costo Total Interrupciones</t>
  </si>
  <si>
    <t>Resultado de Indexación</t>
  </si>
  <si>
    <t>Energía Corte (MWh)</t>
  </si>
  <si>
    <t>Costo Corte (M$)</t>
  </si>
  <si>
    <t xml:space="preserve"> Costo Falla CD ($/kWh) DIC 2019</t>
  </si>
  <si>
    <t xml:space="preserve"> Costo Falla CD ($/kWh)</t>
  </si>
  <si>
    <t xml:space="preserve"> a) Reducción cons no esencial (M$)</t>
  </si>
  <si>
    <t xml:space="preserve"> a) Reducción cons no esencial (%)</t>
  </si>
  <si>
    <t xml:space="preserve"> b) Autogeneración grupos existentes (M$)</t>
  </si>
  <si>
    <t xml:space="preserve"> b) Autogeneración grupos existentes (%)</t>
  </si>
  <si>
    <t xml:space="preserve"> c) Autogeneración grupos nuevos (M$)</t>
  </si>
  <si>
    <t xml:space="preserve"> c) Autogeneración grupos nuevos (%)</t>
  </si>
  <si>
    <t>DIESEL Y PPI USA</t>
  </si>
  <si>
    <t xml:space="preserve"> d) Sustitución (M$)</t>
  </si>
  <si>
    <t xml:space="preserve"> d) Sustitución (%)</t>
  </si>
  <si>
    <t xml:space="preserve"> e) Eficiencia energética (M$)</t>
  </si>
  <si>
    <t xml:space="preserve"> e) Eficiencia energética (%)</t>
  </si>
  <si>
    <t xml:space="preserve"> f) Pérdidas bienes (M$)</t>
  </si>
  <si>
    <t xml:space="preserve"> f) Pérdidas bienes (%)</t>
  </si>
  <si>
    <t xml:space="preserve"> g) Otra estrategia (M$)</t>
  </si>
  <si>
    <t xml:space="preserve"> g) Otra estrategia (%)</t>
  </si>
  <si>
    <t>Costo Total Racionamiento (M$)</t>
  </si>
  <si>
    <t>Costo Total Racionamiento (%)</t>
  </si>
  <si>
    <t>Energía Racionamiento (MWh)</t>
  </si>
  <si>
    <t>Costo Racionamiento (M$)</t>
  </si>
  <si>
    <t xml:space="preserve"> Costo Falla LD ($/kWh)</t>
  </si>
  <si>
    <t xml:space="preserve">Región </t>
  </si>
  <si>
    <t>Cargo Total</t>
  </si>
  <si>
    <t>Resultado de Indexación por Sistema</t>
  </si>
  <si>
    <t>Elasticidad</t>
  </si>
  <si>
    <t>Norte</t>
  </si>
  <si>
    <t>Centro</t>
  </si>
  <si>
    <t>Sur</t>
  </si>
  <si>
    <t>Nacional</t>
  </si>
  <si>
    <t>1 mes</t>
  </si>
  <si>
    <t>2 meses</t>
  </si>
  <si>
    <t>10 meses</t>
  </si>
  <si>
    <t>Sector Comercial</t>
  </si>
  <si>
    <t>Duración 1 mes ($/kWh)</t>
  </si>
  <si>
    <t>Duración 2 meses ($/kWh)</t>
  </si>
  <si>
    <t>Duración 10 meses ($/kWh)</t>
  </si>
  <si>
    <t>Precio ($/kWh)</t>
  </si>
  <si>
    <t>Intempestiva</t>
  </si>
  <si>
    <t xml:space="preserve"> </t>
  </si>
  <si>
    <t>País</t>
  </si>
  <si>
    <t>CFCD</t>
  </si>
  <si>
    <t>CFLD</t>
  </si>
  <si>
    <t xml:space="preserve">SSMM Magallanes </t>
  </si>
  <si>
    <t>Sector 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</si>
</sst>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$&quot;* #,##0_ ;_ &quot;$&quot;* \-#,##0_ ;_ &quot;$&quot;* &quot;-&quot;_ ;_ @_ "/>
    <numFmt numFmtId="41" formatCode="_ * #,##0_ ;_ * \-#,##0_ ;_ * &quot;-&quot;_ ;_ @_ "/>
    <numFmt numFmtId="164" formatCode="0.000"/>
    <numFmt numFmtId="165" formatCode="_ * #,##0.0_ ;_ * \-#,##0.0_ ;_ * &quot;-&quot;_ ;_ @_ "/>
    <numFmt numFmtId="166" formatCode="0.0%"/>
    <numFmt numFmtId="167" formatCode="_-* #,##0.00_-;\-* #,##0.00_-;_-* &quot;-&quot;??_-;_-@_-"/>
    <numFmt numFmtId="168" formatCode="#,##0.000"/>
    <numFmt numFmtId="169" formatCode="_ * #,##0.00_ ;_ * \-#,##0.00_ ;_ * &quot;-&quot;_ ;_ @_ "/>
    <numFmt numFmtId="170" formatCode="0.0"/>
    <numFmt numFmtId="171" formatCode="_-* #,##0.00\ _P_t_s_-;\-* #,##0.00\ _P_t_s_-;_-* &quot;-&quot;??\ _P_t_s_-;_-@_-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9.5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0"/>
      <color rgb="FFFFFF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sz val="10"/>
      <color theme="1"/>
      <name val="Open Sans"/>
      <family val="2"/>
    </font>
    <font>
      <b/>
      <sz val="9"/>
      <color rgb="FFFFFFFF"/>
      <name val="Open Sans"/>
      <family val="2"/>
    </font>
    <font>
      <sz val="9"/>
      <color rgb="FF000000"/>
      <name val="Open Sans"/>
      <family val="2"/>
    </font>
    <font>
      <sz val="12"/>
      <name val="Arial"/>
      <family val="2"/>
    </font>
    <font>
      <sz val="9"/>
      <color theme="1"/>
      <name val="Open Sans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9"/>
      <name val="Open Sans"/>
      <family val="2"/>
    </font>
    <font>
      <b/>
      <sz val="9"/>
      <color theme="1"/>
      <name val="Open Sans"/>
      <family val="2"/>
    </font>
    <font>
      <b/>
      <i/>
      <sz val="10"/>
      <color theme="1"/>
      <name val="Open Sans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CCCCCC"/>
      </top>
      <bottom style="thick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CCCCCC"/>
      </bottom>
      <diagonal/>
    </border>
    <border>
      <left/>
      <right/>
      <top style="thin">
        <color indexed="64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 style="medium">
        <color rgb="FFCCCCCC"/>
      </bottom>
      <diagonal/>
    </border>
    <border>
      <left style="thin">
        <color indexed="64"/>
      </left>
      <right/>
      <top style="medium">
        <color rgb="FFCCCCCC"/>
      </top>
      <bottom style="thick">
        <color rgb="FF000000"/>
      </bottom>
      <diagonal/>
    </border>
    <border>
      <left/>
      <right style="thin">
        <color indexed="64"/>
      </right>
      <top style="medium">
        <color rgb="FFCCCCCC"/>
      </top>
      <bottom style="thick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rgb="FFCCCCCC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indexed="64"/>
      </bottom>
      <diagonal/>
    </border>
    <border>
      <left/>
      <right style="thin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thin">
        <color indexed="64"/>
      </right>
      <top style="medium">
        <color rgb="FFCCCCCC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rgb="FFC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1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16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8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2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2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30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1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5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19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23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27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31" borderId="0" applyNumberFormat="0" applyBorder="0" applyAlignment="0" applyProtection="0"/>
    <xf numFmtId="0" fontId="19" fillId="43" borderId="0" applyNumberFormat="0" applyBorder="0" applyAlignment="0" applyProtection="0"/>
    <xf numFmtId="0" fontId="15" fillId="12" borderId="0" applyNumberFormat="0" applyBorder="0" applyAlignment="0" applyProtection="0"/>
    <xf numFmtId="0" fontId="19" fillId="40" borderId="0" applyNumberFormat="0" applyBorder="0" applyAlignment="0" applyProtection="0"/>
    <xf numFmtId="0" fontId="15" fillId="16" borderId="0" applyNumberFormat="0" applyBorder="0" applyAlignment="0" applyProtection="0"/>
    <xf numFmtId="0" fontId="19" fillId="41" borderId="0" applyNumberFormat="0" applyBorder="0" applyAlignment="0" applyProtection="0"/>
    <xf numFmtId="0" fontId="15" fillId="20" borderId="0" applyNumberFormat="0" applyBorder="0" applyAlignment="0" applyProtection="0"/>
    <xf numFmtId="0" fontId="19" fillId="44" borderId="0" applyNumberFormat="0" applyBorder="0" applyAlignment="0" applyProtection="0"/>
    <xf numFmtId="0" fontId="15" fillId="24" borderId="0" applyNumberFormat="0" applyBorder="0" applyAlignment="0" applyProtection="0"/>
    <xf numFmtId="0" fontId="19" fillId="45" borderId="0" applyNumberFormat="0" applyBorder="0" applyAlignment="0" applyProtection="0"/>
    <xf numFmtId="0" fontId="15" fillId="28" borderId="0" applyNumberFormat="0" applyBorder="0" applyAlignment="0" applyProtection="0"/>
    <xf numFmtId="0" fontId="19" fillId="46" borderId="0" applyNumberFormat="0" applyBorder="0" applyAlignment="0" applyProtection="0"/>
    <xf numFmtId="0" fontId="15" fillId="32" borderId="0" applyNumberFormat="0" applyBorder="0" applyAlignment="0" applyProtection="0"/>
    <xf numFmtId="0" fontId="5" fillId="2" borderId="0" applyNumberFormat="0" applyBorder="0" applyAlignment="0" applyProtection="0"/>
    <xf numFmtId="0" fontId="20" fillId="47" borderId="13" applyNumberFormat="0" applyAlignment="0" applyProtection="0"/>
    <xf numFmtId="0" fontId="9" fillId="6" borderId="4" applyNumberFormat="0" applyAlignment="0" applyProtection="0"/>
    <xf numFmtId="0" fontId="21" fillId="48" borderId="14" applyNumberFormat="0" applyAlignment="0" applyProtection="0"/>
    <xf numFmtId="0" fontId="11" fillId="7" borderId="7" applyNumberFormat="0" applyAlignment="0" applyProtection="0"/>
    <xf numFmtId="0" fontId="22" fillId="0" borderId="15" applyNumberFormat="0" applyFill="0" applyAlignment="0" applyProtection="0"/>
    <xf numFmtId="0" fontId="10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5" fillId="9" borderId="0" applyNumberFormat="0" applyBorder="0" applyAlignment="0" applyProtection="0"/>
    <xf numFmtId="0" fontId="19" fillId="50" borderId="0" applyNumberFormat="0" applyBorder="0" applyAlignment="0" applyProtection="0"/>
    <xf numFmtId="0" fontId="15" fillId="13" borderId="0" applyNumberFormat="0" applyBorder="0" applyAlignment="0" applyProtection="0"/>
    <xf numFmtId="0" fontId="19" fillId="51" borderId="0" applyNumberFormat="0" applyBorder="0" applyAlignment="0" applyProtection="0"/>
    <xf numFmtId="0" fontId="15" fillId="17" borderId="0" applyNumberFormat="0" applyBorder="0" applyAlignment="0" applyProtection="0"/>
    <xf numFmtId="0" fontId="19" fillId="44" borderId="0" applyNumberFormat="0" applyBorder="0" applyAlignment="0" applyProtection="0"/>
    <xf numFmtId="0" fontId="15" fillId="21" borderId="0" applyNumberFormat="0" applyBorder="0" applyAlignment="0" applyProtection="0"/>
    <xf numFmtId="0" fontId="19" fillId="45" borderId="0" applyNumberFormat="0" applyBorder="0" applyAlignment="0" applyProtection="0"/>
    <xf numFmtId="0" fontId="15" fillId="25" borderId="0" applyNumberFormat="0" applyBorder="0" applyAlignment="0" applyProtection="0"/>
    <xf numFmtId="0" fontId="19" fillId="52" borderId="0" applyNumberFormat="0" applyBorder="0" applyAlignment="0" applyProtection="0"/>
    <xf numFmtId="0" fontId="15" fillId="29" borderId="0" applyNumberFormat="0" applyBorder="0" applyAlignment="0" applyProtection="0"/>
    <xf numFmtId="0" fontId="24" fillId="38" borderId="13" applyNumberFormat="0" applyAlignment="0" applyProtection="0"/>
    <xf numFmtId="0" fontId="7" fillId="5" borderId="4" applyNumberFormat="0" applyAlignment="0" applyProtection="0"/>
    <xf numFmtId="0" fontId="25" fillId="34" borderId="0" applyNumberFormat="0" applyBorder="0" applyAlignment="0" applyProtection="0"/>
    <xf numFmtId="0" fontId="6" fillId="3" borderId="0" applyNumberFormat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26" fillId="53" borderId="0" applyNumberFormat="0" applyBorder="0" applyAlignment="0" applyProtection="0"/>
    <xf numFmtId="0" fontId="34" fillId="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1" fillId="0" borderId="0"/>
    <xf numFmtId="0" fontId="16" fillId="0" borderId="0"/>
    <xf numFmtId="0" fontId="33" fillId="0" borderId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27" fillId="47" borderId="17" applyNumberFormat="0" applyAlignment="0" applyProtection="0"/>
    <xf numFmtId="0" fontId="8" fillId="6" borderId="5" applyNumberFormat="0" applyAlignment="0" applyProtection="0"/>
    <xf numFmtId="0" fontId="2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1" fillId="0" borderId="18" applyNumberFormat="0" applyFill="0" applyAlignment="0" applyProtection="0"/>
    <xf numFmtId="0" fontId="3" fillId="0" borderId="2" applyNumberFormat="0" applyFill="0" applyAlignment="0" applyProtection="0"/>
    <xf numFmtId="0" fontId="23" fillId="0" borderId="19" applyNumberFormat="0" applyFill="0" applyAlignment="0" applyProtection="0"/>
    <xf numFmtId="0" fontId="4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2" fillId="0" borderId="20" applyNumberFormat="0" applyFill="0" applyAlignment="0" applyProtection="0"/>
    <xf numFmtId="0" fontId="14" fillId="0" borderId="9" applyNumberFormat="0" applyFill="0" applyAlignment="0" applyProtection="0"/>
    <xf numFmtId="0" fontId="36" fillId="0" borderId="0"/>
    <xf numFmtId="41" fontId="1" fillId="0" borderId="0" applyFont="0" applyFill="0" applyBorder="0" applyAlignment="0" applyProtection="0"/>
    <xf numFmtId="0" fontId="61" fillId="0" borderId="0"/>
    <xf numFmtId="171" fontId="6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61" fillId="0" borderId="0" applyFont="0" applyFill="0" applyBorder="0" applyAlignment="0" applyProtection="0"/>
    <xf numFmtId="0" fontId="63" fillId="0" borderId="0" applyNumberFormat="0" applyFill="0" applyBorder="0" applyAlignment="0" applyProtection="0"/>
  </cellStyleXfs>
  <cellXfs count="372">
    <xf numFmtId="0" fontId="0" fillId="0" borderId="0" xfId="0"/>
    <xf numFmtId="166" fontId="0" fillId="0" borderId="0" xfId="1" applyNumberFormat="1" applyFont="1"/>
    <xf numFmtId="165" fontId="0" fillId="0" borderId="0" xfId="2" applyNumberFormat="1" applyFont="1"/>
    <xf numFmtId="0" fontId="0" fillId="0" borderId="0" xfId="0"/>
    <xf numFmtId="41" fontId="0" fillId="0" borderId="0" xfId="6" applyNumberFormat="1" applyFont="1"/>
    <xf numFmtId="0" fontId="17" fillId="0" borderId="0" xfId="0" applyFont="1"/>
    <xf numFmtId="0" fontId="37" fillId="0" borderId="0" xfId="0" applyFont="1"/>
    <xf numFmtId="17" fontId="0" fillId="0" borderId="0" xfId="0" applyNumberFormat="1" applyAlignment="1">
      <alignment horizontal="center"/>
    </xf>
    <xf numFmtId="0" fontId="0" fillId="0" borderId="0" xfId="0" applyFill="1"/>
    <xf numFmtId="165" fontId="0" fillId="0" borderId="0" xfId="114" applyNumberFormat="1" applyFont="1" applyAlignment="1"/>
    <xf numFmtId="41" fontId="0" fillId="0" borderId="0" xfId="0" applyNumberFormat="1"/>
    <xf numFmtId="0" fontId="0" fillId="0" borderId="28" xfId="0" applyBorder="1"/>
    <xf numFmtId="0" fontId="39" fillId="55" borderId="11" xfId="0" applyFont="1" applyFill="1" applyBorder="1" applyAlignment="1">
      <alignment horizontal="center" vertical="center"/>
    </xf>
    <xf numFmtId="0" fontId="39" fillId="55" borderId="0" xfId="0" applyFont="1" applyFill="1" applyBorder="1" applyAlignment="1">
      <alignment horizontal="left" vertical="center"/>
    </xf>
    <xf numFmtId="0" fontId="39" fillId="57" borderId="0" xfId="0" applyFont="1" applyFill="1" applyBorder="1" applyAlignment="1">
      <alignment horizontal="left" vertical="center"/>
    </xf>
    <xf numFmtId="0" fontId="39" fillId="57" borderId="10" xfId="0" applyFont="1" applyFill="1" applyBorder="1" applyAlignment="1">
      <alignment horizontal="left" vertical="center"/>
    </xf>
    <xf numFmtId="168" fontId="0" fillId="58" borderId="0" xfId="1" applyNumberFormat="1" applyFont="1" applyFill="1"/>
    <xf numFmtId="0" fontId="0" fillId="58" borderId="0" xfId="0" applyFill="1"/>
    <xf numFmtId="165" fontId="0" fillId="58" borderId="0" xfId="114" applyNumberFormat="1" applyFont="1" applyFill="1" applyAlignment="1"/>
    <xf numFmtId="165" fontId="0" fillId="58" borderId="0" xfId="0" applyNumberFormat="1" applyFill="1"/>
    <xf numFmtId="164" fontId="0" fillId="58" borderId="0" xfId="0" applyNumberFormat="1" applyFill="1"/>
    <xf numFmtId="0" fontId="0" fillId="58" borderId="0" xfId="0" applyFill="1" applyAlignment="1">
      <alignment horizontal="center"/>
    </xf>
    <xf numFmtId="164" fontId="0" fillId="58" borderId="0" xfId="1" applyNumberFormat="1" applyFont="1" applyFill="1" applyAlignment="1">
      <alignment horizontal="center"/>
    </xf>
    <xf numFmtId="164" fontId="0" fillId="58" borderId="0" xfId="0" applyNumberFormat="1" applyFill="1" applyAlignment="1">
      <alignment horizontal="center"/>
    </xf>
    <xf numFmtId="0" fontId="11" fillId="55" borderId="0" xfId="0" applyFont="1" applyFill="1"/>
    <xf numFmtId="0" fontId="0" fillId="0" borderId="0" xfId="0" applyAlignment="1">
      <alignment horizontal="center"/>
    </xf>
    <xf numFmtId="9" fontId="11" fillId="55" borderId="12" xfId="0" applyNumberFormat="1" applyFont="1" applyFill="1" applyBorder="1" applyAlignment="1">
      <alignment horizontal="center"/>
    </xf>
    <xf numFmtId="0" fontId="39" fillId="57" borderId="39" xfId="0" applyFont="1" applyFill="1" applyBorder="1" applyAlignment="1">
      <alignment horizontal="left" vertical="center"/>
    </xf>
    <xf numFmtId="9" fontId="11" fillId="55" borderId="43" xfId="0" applyNumberFormat="1" applyFont="1" applyFill="1" applyBorder="1" applyAlignment="1">
      <alignment horizontal="center"/>
    </xf>
    <xf numFmtId="9" fontId="11" fillId="55" borderId="44" xfId="0" applyNumberFormat="1" applyFont="1" applyFill="1" applyBorder="1" applyAlignment="1">
      <alignment horizontal="center"/>
    </xf>
    <xf numFmtId="10" fontId="0" fillId="0" borderId="0" xfId="1" applyNumberFormat="1" applyFont="1"/>
    <xf numFmtId="0" fontId="39" fillId="55" borderId="49" xfId="0" applyFont="1" applyFill="1" applyBorder="1" applyAlignment="1">
      <alignment horizontal="left" vertical="center"/>
    </xf>
    <xf numFmtId="166" fontId="0" fillId="0" borderId="49" xfId="1" applyNumberFormat="1" applyFont="1" applyBorder="1"/>
    <xf numFmtId="0" fontId="0" fillId="58" borderId="49" xfId="0" applyFill="1" applyBorder="1"/>
    <xf numFmtId="164" fontId="0" fillId="58" borderId="49" xfId="0" applyNumberFormat="1" applyFill="1" applyBorder="1"/>
    <xf numFmtId="0" fontId="0" fillId="58" borderId="49" xfId="0" applyFill="1" applyBorder="1" applyAlignment="1">
      <alignment horizontal="center"/>
    </xf>
    <xf numFmtId="9" fontId="11" fillId="55" borderId="51" xfId="0" applyNumberFormat="1" applyFont="1" applyFill="1" applyBorder="1" applyAlignment="1">
      <alignment horizontal="center"/>
    </xf>
    <xf numFmtId="9" fontId="11" fillId="55" borderId="52" xfId="0" applyNumberFormat="1" applyFont="1" applyFill="1" applyBorder="1" applyAlignment="1">
      <alignment horizontal="center"/>
    </xf>
    <xf numFmtId="9" fontId="11" fillId="55" borderId="53" xfId="0" applyNumberFormat="1" applyFont="1" applyFill="1" applyBorder="1" applyAlignment="1">
      <alignment horizontal="center"/>
    </xf>
    <xf numFmtId="0" fontId="0" fillId="58" borderId="0" xfId="0" applyNumberFormat="1" applyFill="1"/>
    <xf numFmtId="0" fontId="0" fillId="58" borderId="56" xfId="0" applyFill="1" applyBorder="1"/>
    <xf numFmtId="0" fontId="0" fillId="58" borderId="57" xfId="0" applyFill="1" applyBorder="1"/>
    <xf numFmtId="0" fontId="39" fillId="0" borderId="0" xfId="0" applyFont="1" applyFill="1" applyBorder="1" applyAlignment="1">
      <alignment horizontal="left" vertical="center"/>
    </xf>
    <xf numFmtId="9" fontId="11" fillId="55" borderId="58" xfId="0" applyNumberFormat="1" applyFont="1" applyFill="1" applyBorder="1" applyAlignment="1">
      <alignment horizontal="center"/>
    </xf>
    <xf numFmtId="9" fontId="11" fillId="55" borderId="59" xfId="0" applyNumberFormat="1" applyFont="1" applyFill="1" applyBorder="1" applyAlignment="1">
      <alignment horizontal="center"/>
    </xf>
    <xf numFmtId="9" fontId="11" fillId="55" borderId="60" xfId="0" applyNumberFormat="1" applyFont="1" applyFill="1" applyBorder="1" applyAlignment="1">
      <alignment horizontal="center"/>
    </xf>
    <xf numFmtId="9" fontId="45" fillId="59" borderId="37" xfId="1" applyFont="1" applyFill="1" applyBorder="1" applyAlignment="1">
      <alignment horizontal="center" vertical="center" wrapText="1"/>
    </xf>
    <xf numFmtId="166" fontId="0" fillId="0" borderId="0" xfId="0" applyNumberFormat="1"/>
    <xf numFmtId="9" fontId="0" fillId="0" borderId="0" xfId="0" applyNumberFormat="1"/>
    <xf numFmtId="164" fontId="46" fillId="61" borderId="37" xfId="0" applyNumberFormat="1" applyFont="1" applyFill="1" applyBorder="1" applyAlignment="1">
      <alignment horizontal="center" vertical="center" wrapText="1"/>
    </xf>
    <xf numFmtId="164" fontId="46" fillId="60" borderId="37" xfId="0" applyNumberFormat="1" applyFont="1" applyFill="1" applyBorder="1" applyAlignment="1">
      <alignment horizontal="center" vertical="center" wrapText="1"/>
    </xf>
    <xf numFmtId="2" fontId="43" fillId="61" borderId="37" xfId="1" applyNumberFormat="1" applyFont="1" applyFill="1" applyBorder="1" applyAlignment="1">
      <alignment horizontal="center" vertical="center" wrapText="1"/>
    </xf>
    <xf numFmtId="9" fontId="45" fillId="59" borderId="0" xfId="1" applyFont="1" applyFill="1" applyBorder="1" applyAlignment="1">
      <alignment horizontal="center" vertical="center" wrapText="1"/>
    </xf>
    <xf numFmtId="17" fontId="40" fillId="59" borderId="37" xfId="1" applyNumberFormat="1" applyFont="1" applyFill="1" applyBorder="1" applyAlignment="1">
      <alignment horizontal="center" vertical="center" wrapText="1"/>
    </xf>
    <xf numFmtId="2" fontId="47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10" fontId="43" fillId="0" borderId="37" xfId="1" applyNumberFormat="1" applyFont="1" applyFill="1" applyBorder="1" applyAlignment="1">
      <alignment horizontal="center" vertical="center" wrapText="1"/>
    </xf>
    <xf numFmtId="166" fontId="43" fillId="0" borderId="37" xfId="1" applyNumberFormat="1" applyFont="1" applyFill="1" applyBorder="1" applyAlignment="1">
      <alignment horizontal="center" vertical="center" wrapText="1"/>
    </xf>
    <xf numFmtId="2" fontId="43" fillId="0" borderId="37" xfId="1" applyNumberFormat="1" applyFont="1" applyFill="1" applyBorder="1" applyAlignment="1">
      <alignment horizontal="center" vertical="center" wrapText="1"/>
    </xf>
    <xf numFmtId="2" fontId="48" fillId="0" borderId="37" xfId="1" applyNumberFormat="1" applyFont="1" applyFill="1" applyBorder="1" applyAlignment="1">
      <alignment horizontal="center" vertical="center" wrapText="1"/>
    </xf>
    <xf numFmtId="9" fontId="45" fillId="0" borderId="0" xfId="1" applyFont="1" applyFill="1" applyBorder="1" applyAlignment="1">
      <alignment horizontal="center" vertical="center" wrapText="1"/>
    </xf>
    <xf numFmtId="2" fontId="43" fillId="0" borderId="0" xfId="1" applyNumberFormat="1" applyFont="1" applyFill="1" applyBorder="1" applyAlignment="1">
      <alignment horizontal="center" vertical="center" wrapText="1"/>
    </xf>
    <xf numFmtId="2" fontId="43" fillId="0" borderId="46" xfId="1" applyNumberFormat="1" applyFont="1" applyFill="1" applyBorder="1" applyAlignment="1">
      <alignment horizontal="center" vertical="center" wrapText="1"/>
    </xf>
    <xf numFmtId="1" fontId="43" fillId="0" borderId="37" xfId="0" applyNumberFormat="1" applyFont="1" applyFill="1" applyBorder="1" applyAlignment="1">
      <alignment horizontal="center" vertical="center" wrapText="1"/>
    </xf>
    <xf numFmtId="164" fontId="46" fillId="0" borderId="37" xfId="0" applyNumberFormat="1" applyFont="1" applyFill="1" applyBorder="1" applyAlignment="1">
      <alignment horizontal="center" vertical="center" wrapText="1"/>
    </xf>
    <xf numFmtId="2" fontId="44" fillId="58" borderId="37" xfId="1" applyNumberFormat="1" applyFont="1" applyFill="1" applyBorder="1" applyAlignment="1">
      <alignment horizontal="center" vertical="center" wrapText="1"/>
    </xf>
    <xf numFmtId="2" fontId="44" fillId="58" borderId="37" xfId="0" applyNumberFormat="1" applyFont="1" applyFill="1" applyBorder="1" applyAlignment="1">
      <alignment horizontal="center" vertical="center" wrapText="1"/>
    </xf>
    <xf numFmtId="2" fontId="43" fillId="58" borderId="3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indent="1"/>
    </xf>
    <xf numFmtId="0" fontId="0" fillId="0" borderId="0" xfId="0" applyFill="1" applyBorder="1"/>
    <xf numFmtId="0" fontId="11" fillId="0" borderId="0" xfId="0" applyFont="1" applyFill="1" applyBorder="1" applyAlignment="1">
      <alignment vertical="center"/>
    </xf>
    <xf numFmtId="166" fontId="0" fillId="0" borderId="49" xfId="1" applyNumberFormat="1" applyFont="1" applyFill="1" applyBorder="1"/>
    <xf numFmtId="0" fontId="39" fillId="55" borderId="67" xfId="0" applyFont="1" applyFill="1" applyBorder="1" applyAlignment="1">
      <alignment horizontal="center" vertical="center" wrapText="1"/>
    </xf>
    <xf numFmtId="0" fontId="39" fillId="55" borderId="68" xfId="0" applyFont="1" applyFill="1" applyBorder="1" applyAlignment="1">
      <alignment horizontal="center" vertical="center" wrapText="1"/>
    </xf>
    <xf numFmtId="0" fontId="39" fillId="55" borderId="69" xfId="0" applyFont="1" applyFill="1" applyBorder="1" applyAlignment="1">
      <alignment horizontal="center" vertical="center" wrapText="1"/>
    </xf>
    <xf numFmtId="0" fontId="11" fillId="55" borderId="21" xfId="0" applyFont="1" applyFill="1" applyBorder="1" applyAlignment="1">
      <alignment vertical="center"/>
    </xf>
    <xf numFmtId="0" fontId="11" fillId="55" borderId="24" xfId="0" applyFont="1" applyFill="1" applyBorder="1" applyAlignment="1">
      <alignment vertical="center"/>
    </xf>
    <xf numFmtId="9" fontId="49" fillId="59" borderId="37" xfId="1" applyFont="1" applyFill="1" applyBorder="1" applyAlignment="1">
      <alignment horizontal="center" vertical="center" wrapText="1"/>
    </xf>
    <xf numFmtId="1" fontId="43" fillId="58" borderId="37" xfId="0" applyNumberFormat="1" applyFont="1" applyFill="1" applyBorder="1" applyAlignment="1">
      <alignment horizontal="center" vertical="center" wrapText="1"/>
    </xf>
    <xf numFmtId="165" fontId="0" fillId="0" borderId="0" xfId="6" applyNumberFormat="1" applyFont="1" applyAlignment="1">
      <alignment horizontal="right"/>
    </xf>
    <xf numFmtId="0" fontId="0" fillId="0" borderId="0" xfId="0" applyAlignment="1">
      <alignment horizontal="right"/>
    </xf>
    <xf numFmtId="165" fontId="0" fillId="0" borderId="45" xfId="6" applyNumberFormat="1" applyFont="1" applyBorder="1" applyAlignment="1">
      <alignment horizontal="right"/>
    </xf>
    <xf numFmtId="165" fontId="0" fillId="0" borderId="0" xfId="6" applyNumberFormat="1" applyFont="1" applyBorder="1" applyAlignment="1">
      <alignment horizontal="right"/>
    </xf>
    <xf numFmtId="165" fontId="0" fillId="0" borderId="46" xfId="6" applyNumberFormat="1" applyFont="1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46" xfId="0" applyBorder="1" applyAlignment="1">
      <alignment horizontal="right"/>
    </xf>
    <xf numFmtId="164" fontId="0" fillId="0" borderId="0" xfId="0" applyNumberFormat="1" applyBorder="1"/>
    <xf numFmtId="10" fontId="0" fillId="0" borderId="49" xfId="0" applyNumberFormat="1" applyBorder="1"/>
    <xf numFmtId="0" fontId="0" fillId="58" borderId="49" xfId="0" applyNumberFormat="1" applyFill="1" applyBorder="1"/>
    <xf numFmtId="10" fontId="0" fillId="0" borderId="49" xfId="1" applyNumberFormat="1" applyFont="1" applyBorder="1"/>
    <xf numFmtId="0" fontId="0" fillId="0" borderId="0" xfId="0" applyAlignment="1">
      <alignment horizontal="left"/>
    </xf>
    <xf numFmtId="41" fontId="55" fillId="0" borderId="37" xfId="114" applyFont="1" applyFill="1" applyBorder="1"/>
    <xf numFmtId="41" fontId="51" fillId="0" borderId="72" xfId="114" applyFont="1" applyFill="1" applyBorder="1"/>
    <xf numFmtId="0" fontId="51" fillId="0" borderId="0" xfId="0" applyFont="1" applyAlignment="1">
      <alignment horizontal="center"/>
    </xf>
    <xf numFmtId="17" fontId="0" fillId="0" borderId="61" xfId="0" applyNumberFormat="1" applyBorder="1" applyAlignment="1">
      <alignment horizontal="center" vertical="center"/>
    </xf>
    <xf numFmtId="17" fontId="0" fillId="0" borderId="57" xfId="0" applyNumberFormat="1" applyBorder="1" applyAlignment="1">
      <alignment horizontal="center" vertical="center"/>
    </xf>
    <xf numFmtId="17" fontId="0" fillId="0" borderId="0" xfId="0" applyNumberFormat="1" applyBorder="1" applyAlignment="1">
      <alignment horizontal="center" vertical="center"/>
    </xf>
    <xf numFmtId="17" fontId="0" fillId="0" borderId="63" xfId="0" applyNumberFormat="1" applyBorder="1" applyAlignment="1">
      <alignment horizontal="center" vertical="center"/>
    </xf>
    <xf numFmtId="17" fontId="0" fillId="0" borderId="64" xfId="0" applyNumberFormat="1" applyBorder="1" applyAlignment="1">
      <alignment horizontal="center" vertical="center"/>
    </xf>
    <xf numFmtId="17" fontId="0" fillId="0" borderId="62" xfId="0" applyNumberFormat="1" applyBorder="1" applyAlignment="1">
      <alignment horizontal="center" vertical="center"/>
    </xf>
    <xf numFmtId="17" fontId="0" fillId="0" borderId="50" xfId="0" applyNumberFormat="1" applyBorder="1" applyAlignment="1">
      <alignment horizontal="center" vertical="center"/>
    </xf>
    <xf numFmtId="3" fontId="0" fillId="0" borderId="56" xfId="0" applyNumberFormat="1" applyBorder="1" applyAlignment="1">
      <alignment horizontal="center" vertical="center"/>
    </xf>
    <xf numFmtId="1" fontId="0" fillId="0" borderId="56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1" fontId="0" fillId="0" borderId="61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57" xfId="0" applyNumberForma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7" fontId="0" fillId="0" borderId="56" xfId="0" applyNumberFormat="1" applyBorder="1" applyAlignment="1">
      <alignment horizontal="center" vertical="center"/>
    </xf>
    <xf numFmtId="17" fontId="0" fillId="0" borderId="66" xfId="0" applyNumberFormat="1" applyBorder="1" applyAlignment="1">
      <alignment horizontal="center" vertical="center"/>
    </xf>
    <xf numFmtId="17" fontId="0" fillId="0" borderId="21" xfId="0" applyNumberFormat="1" applyBorder="1" applyAlignment="1">
      <alignment horizontal="center" vertical="center"/>
    </xf>
    <xf numFmtId="17" fontId="0" fillId="0" borderId="48" xfId="0" applyNumberFormat="1" applyBorder="1" applyAlignment="1">
      <alignment horizontal="center" vertical="center"/>
    </xf>
    <xf numFmtId="17" fontId="0" fillId="0" borderId="68" xfId="0" applyNumberFormat="1" applyBorder="1" applyAlignment="1">
      <alignment horizontal="center" vertical="center"/>
    </xf>
    <xf numFmtId="17" fontId="0" fillId="0" borderId="24" xfId="0" applyNumberFormat="1" applyBorder="1" applyAlignment="1">
      <alignment horizontal="center" vertical="center"/>
    </xf>
    <xf numFmtId="3" fontId="0" fillId="0" borderId="45" xfId="0" applyNumberFormat="1" applyBorder="1" applyAlignment="1">
      <alignment horizontal="center" vertical="center"/>
    </xf>
    <xf numFmtId="0" fontId="39" fillId="62" borderId="61" xfId="0" applyFont="1" applyFill="1" applyBorder="1" applyAlignment="1">
      <alignment horizontal="center"/>
    </xf>
    <xf numFmtId="0" fontId="39" fillId="62" borderId="22" xfId="0" applyFont="1" applyFill="1" applyBorder="1" applyAlignment="1">
      <alignment horizontal="center"/>
    </xf>
    <xf numFmtId="0" fontId="39" fillId="62" borderId="21" xfId="0" applyFont="1" applyFill="1" applyBorder="1" applyAlignment="1">
      <alignment horizontal="center"/>
    </xf>
    <xf numFmtId="0" fontId="39" fillId="62" borderId="57" xfId="0" applyFont="1" applyFill="1" applyBorder="1" applyAlignment="1">
      <alignment horizontal="left"/>
    </xf>
    <xf numFmtId="0" fontId="39" fillId="62" borderId="61" xfId="0" applyFont="1" applyFill="1" applyBorder="1" applyAlignment="1">
      <alignment horizontal="left"/>
    </xf>
    <xf numFmtId="0" fontId="39" fillId="62" borderId="56" xfId="0" applyFont="1" applyFill="1" applyBorder="1" applyAlignment="1">
      <alignment horizontal="left"/>
    </xf>
    <xf numFmtId="0" fontId="56" fillId="59" borderId="84" xfId="0" applyFont="1" applyFill="1" applyBorder="1" applyAlignment="1">
      <alignment horizontal="left" indent="3"/>
    </xf>
    <xf numFmtId="166" fontId="55" fillId="0" borderId="85" xfId="1" applyNumberFormat="1" applyFont="1" applyFill="1" applyBorder="1" applyAlignment="1">
      <alignment horizontal="center"/>
    </xf>
    <xf numFmtId="0" fontId="39" fillId="59" borderId="91" xfId="0" applyFont="1" applyFill="1" applyBorder="1" applyAlignment="1">
      <alignment horizontal="left" indent="1"/>
    </xf>
    <xf numFmtId="166" fontId="51" fillId="0" borderId="92" xfId="1" applyNumberFormat="1" applyFont="1" applyFill="1" applyBorder="1" applyAlignment="1">
      <alignment horizontal="center"/>
    </xf>
    <xf numFmtId="0" fontId="56" fillId="59" borderId="84" xfId="0" applyFont="1" applyFill="1" applyBorder="1" applyAlignment="1">
      <alignment horizontal="left" vertical="center" indent="2"/>
    </xf>
    <xf numFmtId="166" fontId="51" fillId="0" borderId="93" xfId="1" applyNumberFormat="1" applyFont="1" applyFill="1" applyBorder="1" applyAlignment="1">
      <alignment horizontal="center"/>
    </xf>
    <xf numFmtId="0" fontId="39" fillId="59" borderId="86" xfId="0" applyFont="1" applyFill="1" applyBorder="1" applyAlignment="1">
      <alignment horizontal="left" indent="1"/>
    </xf>
    <xf numFmtId="41" fontId="51" fillId="0" borderId="87" xfId="114" applyFont="1" applyFill="1" applyBorder="1"/>
    <xf numFmtId="166" fontId="51" fillId="0" borderId="94" xfId="1" applyNumberFormat="1" applyFont="1" applyFill="1" applyBorder="1" applyAlignment="1">
      <alignment horizontal="center"/>
    </xf>
    <xf numFmtId="0" fontId="39" fillId="62" borderId="63" xfId="0" applyFont="1" applyFill="1" applyBorder="1" applyAlignment="1">
      <alignment horizontal="left"/>
    </xf>
    <xf numFmtId="0" fontId="15" fillId="59" borderId="66" xfId="0" applyFont="1" applyFill="1" applyBorder="1" applyAlignment="1">
      <alignment horizontal="left" indent="1"/>
    </xf>
    <xf numFmtId="0" fontId="39" fillId="62" borderId="64" xfId="0" applyFont="1" applyFill="1" applyBorder="1" applyAlignment="1">
      <alignment horizontal="left"/>
    </xf>
    <xf numFmtId="0" fontId="15" fillId="59" borderId="96" xfId="0" applyFont="1" applyFill="1" applyBorder="1" applyAlignment="1">
      <alignment horizontal="left" indent="1"/>
    </xf>
    <xf numFmtId="0" fontId="39" fillId="62" borderId="95" xfId="0" applyFont="1" applyFill="1" applyBorder="1" applyAlignment="1">
      <alignment horizontal="left"/>
    </xf>
    <xf numFmtId="9" fontId="11" fillId="55" borderId="0" xfId="0" applyNumberFormat="1" applyFont="1" applyFill="1" applyBorder="1" applyAlignment="1">
      <alignment horizontal="center"/>
    </xf>
    <xf numFmtId="9" fontId="11" fillId="55" borderId="46" xfId="0" applyNumberFormat="1" applyFont="1" applyFill="1" applyBorder="1" applyAlignment="1">
      <alignment horizontal="center"/>
    </xf>
    <xf numFmtId="9" fontId="11" fillId="55" borderId="45" xfId="0" applyNumberFormat="1" applyFont="1" applyFill="1" applyBorder="1" applyAlignment="1">
      <alignment horizontal="center"/>
    </xf>
    <xf numFmtId="9" fontId="11" fillId="55" borderId="23" xfId="0" applyNumberFormat="1" applyFont="1" applyFill="1" applyBorder="1" applyAlignment="1">
      <alignment horizontal="center"/>
    </xf>
    <xf numFmtId="1" fontId="0" fillId="0" borderId="73" xfId="0" applyNumberFormat="1" applyBorder="1" applyAlignment="1">
      <alignment horizontal="center" vertical="center"/>
    </xf>
    <xf numFmtId="1" fontId="0" fillId="0" borderId="68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0" fillId="0" borderId="48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9" fontId="11" fillId="55" borderId="56" xfId="0" applyNumberFormat="1" applyFont="1" applyFill="1" applyBorder="1" applyAlignment="1">
      <alignment horizontal="center"/>
    </xf>
    <xf numFmtId="1" fontId="0" fillId="0" borderId="67" xfId="0" applyNumberFormat="1" applyBorder="1" applyAlignment="1">
      <alignment horizontal="center" vertical="center"/>
    </xf>
    <xf numFmtId="1" fontId="0" fillId="0" borderId="69" xfId="0" applyNumberFormat="1" applyBorder="1" applyAlignment="1">
      <alignment horizontal="center" vertical="center"/>
    </xf>
    <xf numFmtId="1" fontId="0" fillId="0" borderId="74" xfId="0" applyNumberFormat="1" applyBorder="1" applyAlignment="1">
      <alignment horizontal="center" vertical="center"/>
    </xf>
    <xf numFmtId="1" fontId="0" fillId="0" borderId="75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1" fontId="0" fillId="0" borderId="50" xfId="0" applyNumberFormat="1" applyBorder="1" applyAlignment="1">
      <alignment horizontal="center" vertical="center"/>
    </xf>
    <xf numFmtId="1" fontId="0" fillId="0" borderId="79" xfId="0" applyNumberFormat="1" applyBorder="1" applyAlignment="1">
      <alignment horizontal="center" vertical="center"/>
    </xf>
    <xf numFmtId="0" fontId="11" fillId="59" borderId="56" xfId="0" applyFont="1" applyFill="1" applyBorder="1"/>
    <xf numFmtId="0" fontId="11" fillId="59" borderId="0" xfId="0" applyFont="1" applyFill="1" applyBorder="1" applyAlignment="1">
      <alignment horizontal="center"/>
    </xf>
    <xf numFmtId="0" fontId="11" fillId="59" borderId="23" xfId="0" applyFont="1" applyFill="1" applyBorder="1" applyAlignment="1">
      <alignment horizontal="center"/>
    </xf>
    <xf numFmtId="0" fontId="14" fillId="0" borderId="0" xfId="0" applyFont="1"/>
    <xf numFmtId="0" fontId="39" fillId="62" borderId="61" xfId="0" applyFont="1" applyFill="1" applyBorder="1" applyAlignment="1"/>
    <xf numFmtId="166" fontId="0" fillId="0" borderId="56" xfId="1" applyNumberFormat="1" applyFont="1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166" fontId="0" fillId="0" borderId="56" xfId="1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66" fontId="0" fillId="0" borderId="23" xfId="1" applyNumberFormat="1" applyFont="1" applyFill="1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14" fillId="58" borderId="57" xfId="1" applyNumberFormat="1" applyFont="1" applyFill="1" applyBorder="1" applyAlignment="1">
      <alignment horizontal="center"/>
    </xf>
    <xf numFmtId="166" fontId="14" fillId="58" borderId="25" xfId="1" applyNumberFormat="1" applyFont="1" applyFill="1" applyBorder="1" applyAlignment="1">
      <alignment horizontal="center"/>
    </xf>
    <xf numFmtId="166" fontId="14" fillId="58" borderId="24" xfId="1" applyNumberFormat="1" applyFont="1" applyFill="1" applyBorder="1" applyAlignment="1">
      <alignment horizontal="center"/>
    </xf>
    <xf numFmtId="41" fontId="0" fillId="0" borderId="0" xfId="114" applyFont="1" applyBorder="1" applyAlignment="1"/>
    <xf numFmtId="41" fontId="0" fillId="0" borderId="23" xfId="114" applyFont="1" applyBorder="1" applyAlignment="1"/>
    <xf numFmtId="41" fontId="14" fillId="56" borderId="24" xfId="114" applyFont="1" applyFill="1" applyBorder="1" applyAlignment="1"/>
    <xf numFmtId="41" fontId="14" fillId="56" borderId="25" xfId="114" applyFont="1" applyFill="1" applyBorder="1" applyAlignmen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57" fillId="0" borderId="0" xfId="0" applyFont="1" applyFill="1" applyBorder="1" applyAlignment="1">
      <alignment horizontal="left"/>
    </xf>
    <xf numFmtId="0" fontId="59" fillId="59" borderId="98" xfId="0" applyFont="1" applyFill="1" applyBorder="1" applyAlignment="1">
      <alignment horizontal="justify" vertical="center" wrapText="1"/>
    </xf>
    <xf numFmtId="0" fontId="59" fillId="59" borderId="78" xfId="0" applyFont="1" applyFill="1" applyBorder="1" applyAlignment="1">
      <alignment horizontal="center" vertical="center" wrapText="1"/>
    </xf>
    <xf numFmtId="0" fontId="60" fillId="0" borderId="25" xfId="0" applyFont="1" applyBorder="1" applyAlignment="1">
      <alignment horizontal="justify" vertical="center" wrapText="1"/>
    </xf>
    <xf numFmtId="169" fontId="0" fillId="0" borderId="0" xfId="114" applyNumberFormat="1" applyFont="1"/>
    <xf numFmtId="2" fontId="0" fillId="0" borderId="0" xfId="0" applyNumberFormat="1" applyFill="1"/>
    <xf numFmtId="0" fontId="0" fillId="0" borderId="0" xfId="0" applyProtection="1">
      <protection locked="0"/>
    </xf>
    <xf numFmtId="0" fontId="0" fillId="0" borderId="0" xfId="0" applyProtection="1"/>
    <xf numFmtId="9" fontId="45" fillId="59" borderId="37" xfId="1" applyFont="1" applyFill="1" applyBorder="1" applyAlignment="1" applyProtection="1">
      <alignment horizontal="center" vertical="center" wrapText="1"/>
    </xf>
    <xf numFmtId="10" fontId="43" fillId="0" borderId="37" xfId="1" applyNumberFormat="1" applyFont="1" applyFill="1" applyBorder="1" applyAlignment="1" applyProtection="1">
      <alignment horizontal="center" vertical="center" wrapText="1"/>
    </xf>
    <xf numFmtId="166" fontId="43" fillId="0" borderId="37" xfId="1" applyNumberFormat="1" applyFont="1" applyFill="1" applyBorder="1" applyAlignment="1" applyProtection="1">
      <alignment horizontal="center" vertical="center" wrapText="1"/>
    </xf>
    <xf numFmtId="10" fontId="43" fillId="0" borderId="35" xfId="1" applyNumberFormat="1" applyFont="1" applyFill="1" applyBorder="1" applyAlignment="1" applyProtection="1">
      <alignment horizontal="center" vertical="center" wrapText="1"/>
    </xf>
    <xf numFmtId="166" fontId="43" fillId="0" borderId="35" xfId="1" applyNumberFormat="1" applyFont="1" applyFill="1" applyBorder="1" applyAlignment="1" applyProtection="1">
      <alignment horizontal="center" vertical="center" wrapText="1"/>
    </xf>
    <xf numFmtId="9" fontId="45" fillId="59" borderId="32" xfId="1" applyFont="1" applyFill="1" applyBorder="1" applyAlignment="1" applyProtection="1">
      <alignment horizontal="center" vertical="center" wrapText="1"/>
    </xf>
    <xf numFmtId="9" fontId="40" fillId="59" borderId="32" xfId="1" applyFont="1" applyFill="1" applyBorder="1" applyAlignment="1" applyProtection="1">
      <alignment horizontal="center" vertical="center" wrapText="1"/>
    </xf>
    <xf numFmtId="0" fontId="47" fillId="0" borderId="0" xfId="0" applyFont="1" applyAlignment="1" applyProtection="1">
      <alignment horizontal="center"/>
    </xf>
    <xf numFmtId="2" fontId="48" fillId="0" borderId="37" xfId="1" applyNumberFormat="1" applyFont="1" applyFill="1" applyBorder="1" applyAlignment="1" applyProtection="1">
      <alignment horizontal="center" vertical="center" wrapText="1"/>
      <protection locked="0"/>
    </xf>
    <xf numFmtId="2" fontId="43" fillId="0" borderId="37" xfId="1" applyNumberFormat="1" applyFont="1" applyFill="1" applyBorder="1" applyAlignment="1" applyProtection="1">
      <alignment horizontal="center" vertical="center" wrapText="1"/>
      <protection locked="0"/>
    </xf>
    <xf numFmtId="17" fontId="11" fillId="59" borderId="37" xfId="0" applyNumberFormat="1" applyFont="1" applyFill="1" applyBorder="1" applyAlignment="1" applyProtection="1">
      <alignment horizontal="center" vertical="center"/>
    </xf>
    <xf numFmtId="17" fontId="40" fillId="59" borderId="37" xfId="1" applyNumberFormat="1" applyFont="1" applyFill="1" applyBorder="1" applyAlignment="1" applyProtection="1">
      <alignment horizontal="center" vertical="center" wrapText="1"/>
    </xf>
    <xf numFmtId="0" fontId="37" fillId="0" borderId="0" xfId="0" applyFont="1" applyProtection="1"/>
    <xf numFmtId="3" fontId="37" fillId="0" borderId="0" xfId="0" applyNumberFormat="1" applyFont="1" applyAlignment="1" applyProtection="1">
      <alignment vertical="center"/>
    </xf>
    <xf numFmtId="0" fontId="0" fillId="0" borderId="0" xfId="0" applyFill="1" applyProtection="1"/>
    <xf numFmtId="0" fontId="37" fillId="0" borderId="0" xfId="0" applyFont="1" applyFill="1" applyProtection="1"/>
    <xf numFmtId="17" fontId="50" fillId="0" borderId="0" xfId="0" applyNumberFormat="1" applyFont="1" applyFill="1" applyProtection="1"/>
    <xf numFmtId="17" fontId="0" fillId="0" borderId="0" xfId="0" applyNumberFormat="1" applyFill="1" applyProtection="1"/>
    <xf numFmtId="0" fontId="58" fillId="0" borderId="0" xfId="0" applyFont="1" applyAlignment="1">
      <alignment wrapText="1"/>
    </xf>
    <xf numFmtId="0" fontId="62" fillId="0" borderId="0" xfId="0" applyFont="1" applyAlignment="1">
      <alignment wrapText="1"/>
    </xf>
    <xf numFmtId="0" fontId="47" fillId="0" borderId="0" xfId="0" applyFont="1"/>
    <xf numFmtId="0" fontId="50" fillId="59" borderId="37" xfId="0" applyFont="1" applyFill="1" applyBorder="1" applyAlignment="1">
      <alignment horizontal="center" wrapText="1"/>
    </xf>
    <xf numFmtId="17" fontId="0" fillId="0" borderId="37" xfId="0" applyNumberFormat="1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7" xfId="0" applyBorder="1" applyProtection="1">
      <protection locked="0"/>
    </xf>
    <xf numFmtId="0" fontId="0" fillId="0" borderId="37" xfId="0" applyBorder="1"/>
    <xf numFmtId="0" fontId="50" fillId="59" borderId="37" xfId="0" applyFont="1" applyFill="1" applyBorder="1"/>
    <xf numFmtId="17" fontId="50" fillId="59" borderId="37" xfId="0" applyNumberFormat="1" applyFont="1" applyFill="1" applyBorder="1"/>
    <xf numFmtId="0" fontId="37" fillId="0" borderId="37" xfId="0" applyFont="1" applyBorder="1"/>
    <xf numFmtId="0" fontId="37" fillId="0" borderId="37" xfId="0" applyFont="1" applyBorder="1" applyAlignment="1">
      <alignment horizontal="center"/>
    </xf>
    <xf numFmtId="170" fontId="0" fillId="0" borderId="37" xfId="0" applyNumberFormat="1" applyBorder="1" applyProtection="1">
      <protection locked="0"/>
    </xf>
    <xf numFmtId="0" fontId="38" fillId="0" borderId="37" xfId="0" applyFont="1" applyFill="1" applyBorder="1" applyProtection="1"/>
    <xf numFmtId="0" fontId="50" fillId="59" borderId="37" xfId="0" applyFont="1" applyFill="1" applyBorder="1" applyProtection="1"/>
    <xf numFmtId="17" fontId="50" fillId="59" borderId="37" xfId="0" applyNumberFormat="1" applyFont="1" applyFill="1" applyBorder="1" applyProtection="1"/>
    <xf numFmtId="0" fontId="37" fillId="0" borderId="37" xfId="0" applyFont="1" applyBorder="1" applyProtection="1"/>
    <xf numFmtId="0" fontId="37" fillId="0" borderId="37" xfId="0" applyFont="1" applyBorder="1" applyAlignment="1" applyProtection="1">
      <alignment horizontal="center"/>
    </xf>
    <xf numFmtId="0" fontId="37" fillId="0" borderId="37" xfId="0" applyFont="1" applyFill="1" applyBorder="1" applyProtection="1"/>
    <xf numFmtId="0" fontId="37" fillId="0" borderId="37" xfId="0" applyFont="1" applyFill="1" applyBorder="1" applyAlignment="1" applyProtection="1">
      <alignment horizontal="center"/>
    </xf>
    <xf numFmtId="3" fontId="37" fillId="0" borderId="37" xfId="0" applyNumberFormat="1" applyFont="1" applyFill="1" applyBorder="1" applyAlignment="1" applyProtection="1">
      <alignment vertical="center"/>
    </xf>
    <xf numFmtId="170" fontId="37" fillId="0" borderId="37" xfId="0" applyNumberFormat="1" applyFont="1" applyFill="1" applyBorder="1" applyAlignment="1" applyProtection="1">
      <alignment vertical="center"/>
    </xf>
    <xf numFmtId="170" fontId="37" fillId="0" borderId="37" xfId="0" applyNumberFormat="1" applyFont="1" applyFill="1" applyBorder="1" applyAlignment="1" applyProtection="1">
      <alignment horizontal="right" vertical="center"/>
    </xf>
    <xf numFmtId="0" fontId="37" fillId="0" borderId="37" xfId="0" applyFont="1" applyFill="1" applyBorder="1" applyAlignment="1" applyProtection="1">
      <alignment vertical="center"/>
    </xf>
    <xf numFmtId="0" fontId="0" fillId="0" borderId="36" xfId="0" applyBorder="1" applyProtection="1">
      <protection locked="0"/>
    </xf>
    <xf numFmtId="170" fontId="0" fillId="0" borderId="36" xfId="0" applyNumberFormat="1" applyBorder="1" applyProtection="1">
      <protection locked="0"/>
    </xf>
    <xf numFmtId="0" fontId="0" fillId="0" borderId="37" xfId="0" applyBorder="1" applyProtection="1"/>
    <xf numFmtId="2" fontId="0" fillId="0" borderId="37" xfId="0" applyNumberFormat="1" applyBorder="1" applyProtection="1"/>
    <xf numFmtId="0" fontId="0" fillId="0" borderId="37" xfId="0" applyFont="1" applyBorder="1" applyProtection="1"/>
    <xf numFmtId="17" fontId="54" fillId="55" borderId="29" xfId="0" applyNumberFormat="1" applyFont="1" applyFill="1" applyBorder="1" applyAlignment="1" applyProtection="1">
      <alignment horizontal="center"/>
      <protection locked="0"/>
    </xf>
    <xf numFmtId="0" fontId="64" fillId="63" borderId="64" xfId="120" applyFont="1" applyFill="1" applyBorder="1" applyAlignment="1">
      <alignment horizontal="justify" vertical="center" wrapText="1"/>
    </xf>
    <xf numFmtId="0" fontId="11" fillId="64" borderId="64" xfId="120" applyFont="1" applyFill="1" applyBorder="1" applyAlignment="1">
      <alignment horizontal="justify" vertical="center" wrapText="1"/>
    </xf>
    <xf numFmtId="0" fontId="70" fillId="0" borderId="37" xfId="0" applyFont="1" applyFill="1" applyBorder="1" applyProtection="1"/>
    <xf numFmtId="164" fontId="0" fillId="0" borderId="23" xfId="0" applyNumberFormat="1" applyBorder="1"/>
    <xf numFmtId="164" fontId="0" fillId="0" borderId="25" xfId="0" applyNumberFormat="1" applyBorder="1"/>
    <xf numFmtId="41" fontId="0" fillId="0" borderId="0" xfId="114" applyFont="1"/>
    <xf numFmtId="164" fontId="0" fillId="0" borderId="0" xfId="0" applyNumberFormat="1"/>
    <xf numFmtId="0" fontId="0" fillId="0" borderId="37" xfId="0" applyFont="1" applyBorder="1" applyProtection="1">
      <protection locked="0"/>
    </xf>
    <xf numFmtId="170" fontId="0" fillId="0" borderId="37" xfId="0" applyNumberFormat="1" applyFont="1" applyBorder="1" applyProtection="1">
      <protection locked="0"/>
    </xf>
    <xf numFmtId="0" fontId="50" fillId="59" borderId="37" xfId="0" applyFont="1" applyFill="1" applyBorder="1" applyAlignment="1" applyProtection="1">
      <alignment vertical="center"/>
    </xf>
    <xf numFmtId="0" fontId="70" fillId="0" borderId="37" xfId="0" applyFont="1" applyFill="1" applyBorder="1" applyAlignment="1" applyProtection="1">
      <alignment vertical="center"/>
    </xf>
    <xf numFmtId="0" fontId="37" fillId="0" borderId="37" xfId="0" applyFont="1" applyBorder="1" applyAlignment="1" applyProtection="1">
      <alignment horizontal="center" vertical="center"/>
    </xf>
    <xf numFmtId="0" fontId="37" fillId="0" borderId="37" xfId="0" applyFont="1" applyBorder="1" applyAlignment="1" applyProtection="1">
      <alignment vertical="center"/>
    </xf>
    <xf numFmtId="0" fontId="37" fillId="0" borderId="37" xfId="0" applyFont="1" applyBorder="1" applyAlignment="1" applyProtection="1">
      <alignment vertical="center" wrapText="1"/>
    </xf>
    <xf numFmtId="41" fontId="0" fillId="0" borderId="0" xfId="2" applyFont="1"/>
    <xf numFmtId="41" fontId="0" fillId="56" borderId="0" xfId="2" applyFont="1" applyFill="1"/>
    <xf numFmtId="41" fontId="0" fillId="58" borderId="0" xfId="2" applyFont="1" applyFill="1"/>
    <xf numFmtId="41" fontId="0" fillId="0" borderId="45" xfId="6" applyFont="1" applyBorder="1" applyAlignment="1">
      <alignment horizontal="right"/>
    </xf>
    <xf numFmtId="41" fontId="0" fillId="0" borderId="0" xfId="6" applyFont="1" applyBorder="1" applyAlignment="1">
      <alignment horizontal="right"/>
    </xf>
    <xf numFmtId="41" fontId="0" fillId="0" borderId="46" xfId="6" applyFont="1" applyBorder="1" applyAlignment="1">
      <alignment horizontal="right"/>
    </xf>
    <xf numFmtId="41" fontId="0" fillId="58" borderId="47" xfId="6" applyFont="1" applyFill="1" applyBorder="1" applyAlignment="1">
      <alignment horizontal="right"/>
    </xf>
    <xf numFmtId="41" fontId="0" fillId="58" borderId="48" xfId="6" applyFont="1" applyFill="1" applyBorder="1" applyAlignment="1">
      <alignment horizontal="right"/>
    </xf>
    <xf numFmtId="41" fontId="0" fillId="58" borderId="34" xfId="6" applyFont="1" applyFill="1" applyBorder="1" applyAlignment="1">
      <alignment horizontal="right"/>
    </xf>
    <xf numFmtId="41" fontId="0" fillId="0" borderId="0" xfId="6" applyFont="1" applyAlignment="1">
      <alignment horizontal="right"/>
    </xf>
    <xf numFmtId="41" fontId="0" fillId="58" borderId="0" xfId="6" applyFont="1" applyFill="1" applyAlignment="1">
      <alignment horizontal="right"/>
    </xf>
    <xf numFmtId="9" fontId="0" fillId="0" borderId="0" xfId="1" applyNumberFormat="1" applyFont="1"/>
    <xf numFmtId="3" fontId="0" fillId="0" borderId="47" xfId="0" applyNumberFormat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61" xfId="0" applyNumberFormat="1" applyBorder="1" applyAlignment="1">
      <alignment horizontal="center" vertical="center"/>
    </xf>
    <xf numFmtId="0" fontId="11" fillId="55" borderId="21" xfId="0" applyFont="1" applyFill="1" applyBorder="1" applyAlignment="1">
      <alignment horizontal="center" vertical="center"/>
    </xf>
    <xf numFmtId="0" fontId="11" fillId="55" borderId="24" xfId="0" applyFont="1" applyFill="1" applyBorder="1" applyAlignment="1">
      <alignment horizontal="center" vertical="center"/>
    </xf>
    <xf numFmtId="3" fontId="0" fillId="0" borderId="57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9" fontId="40" fillId="59" borderId="37" xfId="1" applyFont="1" applyFill="1" applyBorder="1" applyAlignment="1" applyProtection="1">
      <alignment horizontal="center" vertical="center" wrapText="1"/>
    </xf>
    <xf numFmtId="0" fontId="39" fillId="55" borderId="24" xfId="0" applyFont="1" applyFill="1" applyBorder="1" applyAlignment="1">
      <alignment horizontal="center" vertical="center"/>
    </xf>
    <xf numFmtId="0" fontId="39" fillId="55" borderId="30" xfId="0" applyFont="1" applyFill="1" applyBorder="1" applyAlignment="1">
      <alignment horizontal="center" vertical="center"/>
    </xf>
    <xf numFmtId="9" fontId="40" fillId="59" borderId="32" xfId="1" applyFont="1" applyFill="1" applyBorder="1" applyAlignment="1">
      <alignment horizontal="center" vertical="center" wrapText="1"/>
    </xf>
    <xf numFmtId="9" fontId="40" fillId="59" borderId="37" xfId="1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wrapText="1"/>
    </xf>
    <xf numFmtId="0" fontId="58" fillId="0" borderId="0" xfId="0" applyFont="1" applyAlignment="1">
      <alignment horizontal="center" wrapText="1"/>
    </xf>
    <xf numFmtId="0" fontId="67" fillId="0" borderId="0" xfId="0" applyFont="1" applyAlignment="1">
      <alignment horizontal="left" wrapText="1"/>
    </xf>
    <xf numFmtId="0" fontId="66" fillId="0" borderId="0" xfId="0" applyFont="1" applyAlignment="1">
      <alignment horizontal="center" wrapText="1"/>
    </xf>
    <xf numFmtId="0" fontId="11" fillId="55" borderId="77" xfId="0" applyFont="1" applyFill="1" applyBorder="1" applyAlignment="1">
      <alignment horizontal="center" vertical="center"/>
    </xf>
    <xf numFmtId="0" fontId="11" fillId="55" borderId="78" xfId="0" applyFont="1" applyFill="1" applyBorder="1" applyAlignment="1">
      <alignment horizontal="center" vertical="center"/>
    </xf>
    <xf numFmtId="0" fontId="11" fillId="55" borderId="80" xfId="0" applyFont="1" applyFill="1" applyBorder="1" applyAlignment="1">
      <alignment horizontal="center"/>
    </xf>
    <xf numFmtId="0" fontId="11" fillId="55" borderId="81" xfId="0" applyFont="1" applyFill="1" applyBorder="1" applyAlignment="1">
      <alignment horizontal="center"/>
    </xf>
    <xf numFmtId="0" fontId="11" fillId="55" borderId="82" xfId="0" applyFont="1" applyFill="1" applyBorder="1" applyAlignment="1">
      <alignment horizontal="center"/>
    </xf>
    <xf numFmtId="0" fontId="11" fillId="55" borderId="83" xfId="0" applyFont="1" applyFill="1" applyBorder="1" applyAlignment="1">
      <alignment horizontal="center"/>
    </xf>
    <xf numFmtId="0" fontId="39" fillId="55" borderId="56" xfId="0" applyFont="1" applyFill="1" applyBorder="1" applyAlignment="1">
      <alignment horizontal="center" vertical="center" wrapText="1"/>
    </xf>
    <xf numFmtId="0" fontId="39" fillId="55" borderId="57" xfId="0" applyFont="1" applyFill="1" applyBorder="1" applyAlignment="1">
      <alignment horizontal="center" vertical="center" wrapText="1"/>
    </xf>
    <xf numFmtId="0" fontId="39" fillId="55" borderId="0" xfId="0" applyFont="1" applyFill="1" applyBorder="1" applyAlignment="1">
      <alignment horizontal="center" vertical="center" wrapText="1"/>
    </xf>
    <xf numFmtId="0" fontId="39" fillId="55" borderId="24" xfId="0" applyFont="1" applyFill="1" applyBorder="1" applyAlignment="1">
      <alignment horizontal="center" vertical="center" wrapText="1"/>
    </xf>
    <xf numFmtId="0" fontId="11" fillId="55" borderId="76" xfId="0" applyFont="1" applyFill="1" applyBorder="1" applyAlignment="1">
      <alignment horizontal="center" vertical="center"/>
    </xf>
    <xf numFmtId="0" fontId="11" fillId="55" borderId="26" xfId="0" applyFont="1" applyFill="1" applyBorder="1" applyAlignment="1">
      <alignment horizontal="center" vertical="center" wrapText="1"/>
    </xf>
    <xf numFmtId="0" fontId="11" fillId="55" borderId="27" xfId="0" applyFont="1" applyFill="1" applyBorder="1" applyAlignment="1">
      <alignment horizontal="center" vertical="center" wrapText="1"/>
    </xf>
    <xf numFmtId="0" fontId="11" fillId="55" borderId="63" xfId="0" applyFont="1" applyFill="1" applyBorder="1" applyAlignment="1">
      <alignment horizontal="center" vertical="center"/>
    </xf>
    <xf numFmtId="0" fontId="11" fillId="55" borderId="66" xfId="0" applyFont="1" applyFill="1" applyBorder="1" applyAlignment="1">
      <alignment horizontal="center" vertical="center"/>
    </xf>
    <xf numFmtId="0" fontId="11" fillId="55" borderId="64" xfId="0" applyFont="1" applyFill="1" applyBorder="1" applyAlignment="1">
      <alignment horizontal="center" vertical="center"/>
    </xf>
    <xf numFmtId="0" fontId="11" fillId="55" borderId="22" xfId="0" applyFont="1" applyFill="1" applyBorder="1" applyAlignment="1">
      <alignment horizontal="center" vertical="center"/>
    </xf>
    <xf numFmtId="0" fontId="11" fillId="55" borderId="25" xfId="0" applyFont="1" applyFill="1" applyBorder="1" applyAlignment="1">
      <alignment horizontal="center" vertical="center"/>
    </xf>
    <xf numFmtId="0" fontId="11" fillId="55" borderId="22" xfId="0" applyFont="1" applyFill="1" applyBorder="1" applyAlignment="1">
      <alignment horizontal="center" vertical="center" wrapText="1"/>
    </xf>
    <xf numFmtId="0" fontId="11" fillId="55" borderId="25" xfId="0" applyFont="1" applyFill="1" applyBorder="1" applyAlignment="1">
      <alignment horizontal="center" vertical="center" wrapText="1"/>
    </xf>
    <xf numFmtId="3" fontId="0" fillId="0" borderId="57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0" fontId="11" fillId="55" borderId="26" xfId="0" applyFont="1" applyFill="1" applyBorder="1" applyAlignment="1">
      <alignment horizontal="center" vertical="center"/>
    </xf>
    <xf numFmtId="0" fontId="11" fillId="55" borderId="27" xfId="0" applyFont="1" applyFill="1" applyBorder="1" applyAlignment="1">
      <alignment horizontal="center" vertical="center"/>
    </xf>
    <xf numFmtId="3" fontId="0" fillId="0" borderId="61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0" fontId="11" fillId="55" borderId="21" xfId="0" applyFont="1" applyFill="1" applyBorder="1" applyAlignment="1">
      <alignment horizontal="center"/>
    </xf>
    <xf numFmtId="0" fontId="11" fillId="55" borderId="22" xfId="0" applyFont="1" applyFill="1" applyBorder="1" applyAlignment="1">
      <alignment horizontal="center"/>
    </xf>
    <xf numFmtId="0" fontId="11" fillId="55" borderId="48" xfId="0" applyFont="1" applyFill="1" applyBorder="1" applyAlignment="1">
      <alignment horizontal="center"/>
    </xf>
    <xf numFmtId="0" fontId="53" fillId="55" borderId="0" xfId="0" applyFont="1" applyFill="1" applyBorder="1" applyAlignment="1" applyProtection="1">
      <alignment horizontal="center"/>
    </xf>
    <xf numFmtId="0" fontId="53" fillId="55" borderId="65" xfId="0" applyFont="1" applyFill="1" applyBorder="1" applyAlignment="1" applyProtection="1">
      <alignment horizontal="center"/>
    </xf>
    <xf numFmtId="0" fontId="11" fillId="55" borderId="21" xfId="0" applyFont="1" applyFill="1" applyBorder="1" applyAlignment="1">
      <alignment horizontal="center" vertical="center"/>
    </xf>
    <xf numFmtId="0" fontId="11" fillId="55" borderId="24" xfId="0" applyFont="1" applyFill="1" applyBorder="1" applyAlignment="1">
      <alignment horizontal="center" vertical="center"/>
    </xf>
    <xf numFmtId="0" fontId="11" fillId="55" borderId="21" xfId="0" applyFont="1" applyFill="1" applyBorder="1" applyAlignment="1">
      <alignment horizontal="center" vertical="center" wrapText="1"/>
    </xf>
    <xf numFmtId="0" fontId="11" fillId="55" borderId="24" xfId="0" applyFont="1" applyFill="1" applyBorder="1" applyAlignment="1">
      <alignment horizontal="center" vertical="center" wrapText="1"/>
    </xf>
    <xf numFmtId="0" fontId="11" fillId="55" borderId="61" xfId="0" applyFont="1" applyFill="1" applyBorder="1" applyAlignment="1">
      <alignment horizontal="left" vertical="center" indent="1"/>
    </xf>
    <xf numFmtId="0" fontId="11" fillId="55" borderId="57" xfId="0" applyFont="1" applyFill="1" applyBorder="1" applyAlignment="1">
      <alignment horizontal="left" vertical="center" indent="1"/>
    </xf>
    <xf numFmtId="0" fontId="11" fillId="55" borderId="67" xfId="0" applyFont="1" applyFill="1" applyBorder="1" applyAlignment="1">
      <alignment horizontal="center" vertical="center" wrapText="1"/>
    </xf>
    <xf numFmtId="0" fontId="11" fillId="55" borderId="74" xfId="0" applyFont="1" applyFill="1" applyBorder="1" applyAlignment="1">
      <alignment horizontal="center" vertical="center" wrapText="1"/>
    </xf>
    <xf numFmtId="0" fontId="11" fillId="55" borderId="40" xfId="0" applyFont="1" applyFill="1" applyBorder="1" applyAlignment="1">
      <alignment horizontal="center"/>
    </xf>
    <xf numFmtId="0" fontId="11" fillId="55" borderId="41" xfId="0" applyFont="1" applyFill="1" applyBorder="1" applyAlignment="1">
      <alignment horizontal="center"/>
    </xf>
    <xf numFmtId="0" fontId="11" fillId="55" borderId="42" xfId="0" applyFont="1" applyFill="1" applyBorder="1" applyAlignment="1">
      <alignment horizontal="center"/>
    </xf>
    <xf numFmtId="0" fontId="11" fillId="55" borderId="61" xfId="0" applyFont="1" applyFill="1" applyBorder="1" applyAlignment="1">
      <alignment horizontal="center" vertical="center"/>
    </xf>
    <xf numFmtId="0" fontId="11" fillId="55" borderId="57" xfId="0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52" fillId="0" borderId="0" xfId="0" applyFont="1" applyFill="1" applyBorder="1" applyAlignment="1">
      <alignment horizontal="left"/>
    </xf>
    <xf numFmtId="3" fontId="0" fillId="0" borderId="21" xfId="114" applyNumberFormat="1" applyFont="1" applyBorder="1" applyAlignment="1">
      <alignment horizontal="center" vertical="center"/>
    </xf>
    <xf numFmtId="3" fontId="0" fillId="0" borderId="22" xfId="114" applyNumberFormat="1" applyFont="1" applyBorder="1" applyAlignment="1">
      <alignment horizontal="center" vertical="center"/>
    </xf>
    <xf numFmtId="0" fontId="11" fillId="55" borderId="63" xfId="0" applyFont="1" applyFill="1" applyBorder="1" applyAlignment="1">
      <alignment horizontal="left" vertical="center"/>
    </xf>
    <xf numFmtId="0" fontId="11" fillId="55" borderId="66" xfId="0" applyFont="1" applyFill="1" applyBorder="1" applyAlignment="1">
      <alignment horizontal="left" vertical="center"/>
    </xf>
    <xf numFmtId="0" fontId="11" fillId="55" borderId="61" xfId="0" applyFont="1" applyFill="1" applyBorder="1" applyAlignment="1">
      <alignment horizontal="center" vertical="center" wrapText="1"/>
    </xf>
    <xf numFmtId="0" fontId="11" fillId="55" borderId="97" xfId="0" applyFont="1" applyFill="1" applyBorder="1" applyAlignment="1">
      <alignment horizontal="center"/>
    </xf>
    <xf numFmtId="0" fontId="11" fillId="55" borderId="57" xfId="0" applyFont="1" applyFill="1" applyBorder="1" applyAlignment="1">
      <alignment horizontal="center" vertical="center" wrapText="1"/>
    </xf>
    <xf numFmtId="3" fontId="0" fillId="0" borderId="73" xfId="0" applyNumberFormat="1" applyBorder="1" applyAlignment="1">
      <alignment horizontal="center" vertical="center"/>
    </xf>
    <xf numFmtId="3" fontId="0" fillId="0" borderId="68" xfId="0" applyNumberFormat="1" applyBorder="1" applyAlignment="1">
      <alignment horizontal="center" vertical="center"/>
    </xf>
    <xf numFmtId="3" fontId="0" fillId="0" borderId="47" xfId="0" applyNumberFormat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3" fontId="0" fillId="0" borderId="50" xfId="0" applyNumberFormat="1" applyBorder="1" applyAlignment="1">
      <alignment horizontal="center" vertical="center"/>
    </xf>
    <xf numFmtId="9" fontId="40" fillId="59" borderId="37" xfId="1" applyFont="1" applyFill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/>
    </xf>
    <xf numFmtId="9" fontId="40" fillId="59" borderId="35" xfId="1" applyFont="1" applyFill="1" applyBorder="1" applyAlignment="1" applyProtection="1">
      <alignment horizontal="center" vertical="center" wrapText="1"/>
    </xf>
    <xf numFmtId="9" fontId="40" fillId="59" borderId="38" xfId="1" applyFont="1" applyFill="1" applyBorder="1" applyAlignment="1" applyProtection="1">
      <alignment horizontal="center" vertical="center" wrapText="1"/>
    </xf>
    <xf numFmtId="0" fontId="39" fillId="62" borderId="88" xfId="0" applyFont="1" applyFill="1" applyBorder="1" applyAlignment="1">
      <alignment horizontal="center"/>
    </xf>
    <xf numFmtId="0" fontId="39" fillId="62" borderId="89" xfId="0" applyFont="1" applyFill="1" applyBorder="1" applyAlignment="1">
      <alignment horizontal="center"/>
    </xf>
    <xf numFmtId="0" fontId="39" fillId="62" borderId="90" xfId="0" applyFont="1" applyFill="1" applyBorder="1" applyAlignment="1">
      <alignment horizontal="center"/>
    </xf>
    <xf numFmtId="0" fontId="39" fillId="55" borderId="45" xfId="0" applyFont="1" applyFill="1" applyBorder="1" applyAlignment="1">
      <alignment horizontal="center" vertical="center"/>
    </xf>
    <xf numFmtId="0" fontId="39" fillId="55" borderId="0" xfId="0" applyFont="1" applyFill="1" applyBorder="1" applyAlignment="1">
      <alignment horizontal="center" vertical="center"/>
    </xf>
    <xf numFmtId="0" fontId="39" fillId="55" borderId="50" xfId="0" applyFont="1" applyFill="1" applyBorder="1" applyAlignment="1">
      <alignment horizontal="center" vertical="center"/>
    </xf>
    <xf numFmtId="0" fontId="39" fillId="55" borderId="24" xfId="0" applyFont="1" applyFill="1" applyBorder="1" applyAlignment="1">
      <alignment horizontal="center" vertical="center"/>
    </xf>
    <xf numFmtId="0" fontId="39" fillId="55" borderId="30" xfId="0" applyFont="1" applyFill="1" applyBorder="1" applyAlignment="1">
      <alignment horizontal="center" vertical="center"/>
    </xf>
    <xf numFmtId="0" fontId="39" fillId="55" borderId="54" xfId="0" applyFont="1" applyFill="1" applyBorder="1" applyAlignment="1">
      <alignment horizontal="center" vertical="center"/>
    </xf>
    <xf numFmtId="0" fontId="39" fillId="55" borderId="55" xfId="0" applyFont="1" applyFill="1" applyBorder="1" applyAlignment="1">
      <alignment horizontal="center" vertical="center"/>
    </xf>
    <xf numFmtId="9" fontId="40" fillId="59" borderId="46" xfId="1" applyFont="1" applyFill="1" applyBorder="1" applyAlignment="1">
      <alignment horizontal="center" vertical="center" wrapText="1"/>
    </xf>
    <xf numFmtId="9" fontId="40" fillId="59" borderId="34" xfId="1" applyFont="1" applyFill="1" applyBorder="1" applyAlignment="1">
      <alignment horizontal="center" vertical="center" wrapText="1"/>
    </xf>
    <xf numFmtId="9" fontId="40" fillId="59" borderId="37" xfId="1" applyFont="1" applyFill="1" applyBorder="1" applyAlignment="1">
      <alignment horizontal="center" vertical="center" wrapText="1"/>
    </xf>
    <xf numFmtId="9" fontId="40" fillId="59" borderId="32" xfId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9" fontId="40" fillId="59" borderId="71" xfId="1" applyFont="1" applyFill="1" applyBorder="1" applyAlignment="1">
      <alignment horizontal="center" vertical="center" wrapText="1"/>
    </xf>
    <xf numFmtId="9" fontId="40" fillId="59" borderId="31" xfId="1" applyFont="1" applyFill="1" applyBorder="1" applyAlignment="1">
      <alignment horizontal="center" vertical="center" wrapText="1"/>
    </xf>
    <xf numFmtId="0" fontId="0" fillId="0" borderId="34" xfId="0" applyBorder="1" applyAlignment="1"/>
    <xf numFmtId="9" fontId="40" fillId="59" borderId="35" xfId="1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</cellXfs>
  <cellStyles count="121">
    <cellStyle name="20% - Énfasis1 2" xfId="10" xr:uid="{273AAE0B-F07C-41D2-BEBB-246F19C9158A}"/>
    <cellStyle name="20% - Énfasis1 3" xfId="11" xr:uid="{914F3C84-EDAB-45B2-B78C-E83F79013214}"/>
    <cellStyle name="20% - Énfasis1 4" xfId="9" xr:uid="{64EF810B-2968-4725-9F4E-AED9D6F28D36}"/>
    <cellStyle name="20% - Énfasis2 2" xfId="13" xr:uid="{AD66BAA1-4AFF-41A6-BA63-2C1B3A133452}"/>
    <cellStyle name="20% - Énfasis2 3" xfId="14" xr:uid="{FE5F12C9-B81B-426B-83C3-FC9247455D1E}"/>
    <cellStyle name="20% - Énfasis2 4" xfId="12" xr:uid="{E29ADBD6-4ED6-4513-AA49-878A267EAA2A}"/>
    <cellStyle name="20% - Énfasis3 2" xfId="16" xr:uid="{F3DA28EE-237C-4B0C-9849-4250E51C52F9}"/>
    <cellStyle name="20% - Énfasis3 3" xfId="17" xr:uid="{96728BB6-88FB-4782-AB2D-C3ED64546F00}"/>
    <cellStyle name="20% - Énfasis3 4" xfId="15" xr:uid="{4CA4E762-1F03-45F5-85CB-CF225C44E252}"/>
    <cellStyle name="20% - Énfasis4 2" xfId="19" xr:uid="{2F2C619D-AD59-44D9-8113-A66C94D220D2}"/>
    <cellStyle name="20% - Énfasis4 3" xfId="20" xr:uid="{75C96FEA-B217-40A1-857D-34E3E97EB143}"/>
    <cellStyle name="20% - Énfasis4 4" xfId="18" xr:uid="{AF064FCE-5912-4E71-BB92-C9737BAB20CF}"/>
    <cellStyle name="20% - Énfasis5 2" xfId="22" xr:uid="{CFD8C3B5-16AA-4F8D-9B68-6E0F9E605793}"/>
    <cellStyle name="20% - Énfasis5 3" xfId="23" xr:uid="{9DC8716F-18CF-40EB-A9A4-D6AAF1FBF660}"/>
    <cellStyle name="20% - Énfasis5 4" xfId="21" xr:uid="{A80D3AA4-DEA6-4BC5-9A42-03B7258523C4}"/>
    <cellStyle name="20% - Énfasis6 2" xfId="25" xr:uid="{1E1221B0-8B69-44D7-863E-EAF437F323BE}"/>
    <cellStyle name="20% - Énfasis6 3" xfId="26" xr:uid="{9AD405EE-218D-4628-BA21-F75AAD1B2749}"/>
    <cellStyle name="20% - Énfasis6 4" xfId="24" xr:uid="{4216CE9B-F469-41C6-8B80-CDCA6EEF1829}"/>
    <cellStyle name="40% - Énfasis1 2" xfId="28" xr:uid="{D623B013-B00E-42D4-B340-59B6F7C2A2D9}"/>
    <cellStyle name="40% - Énfasis1 3" xfId="29" xr:uid="{69581AF6-0F8F-4D06-8458-969F5288B963}"/>
    <cellStyle name="40% - Énfasis1 4" xfId="27" xr:uid="{064D2A06-6D8A-4A51-A81B-EBA857D9700F}"/>
    <cellStyle name="40% - Énfasis2 2" xfId="31" xr:uid="{F1C347CC-B47D-49FA-B117-5EDFD9E6186C}"/>
    <cellStyle name="40% - Énfasis2 3" xfId="32" xr:uid="{D9D9E5DE-BB86-42D5-BBC9-0F64E2753F69}"/>
    <cellStyle name="40% - Énfasis2 4" xfId="30" xr:uid="{395D6BCB-8999-408A-9930-987974A36CF3}"/>
    <cellStyle name="40% - Énfasis3 2" xfId="34" xr:uid="{126DAC6D-4C42-4D4F-88CB-066F851BB629}"/>
    <cellStyle name="40% - Énfasis3 3" xfId="35" xr:uid="{54F344CC-9588-4289-9BCC-D32F9C8AA5B9}"/>
    <cellStyle name="40% - Énfasis3 4" xfId="33" xr:uid="{D8789557-94B2-4898-9DC2-62886946D13F}"/>
    <cellStyle name="40% - Énfasis4 2" xfId="37" xr:uid="{8C094EDE-063A-4F67-962B-2D7C25F79B32}"/>
    <cellStyle name="40% - Énfasis4 3" xfId="38" xr:uid="{9FD2E975-6A0E-4941-8A62-D759A5CC993A}"/>
    <cellStyle name="40% - Énfasis4 4" xfId="36" xr:uid="{7D217225-249B-4F0B-AEE2-8D73C6C544C0}"/>
    <cellStyle name="40% - Énfasis5 2" xfId="40" xr:uid="{6CB0E983-C41D-48BF-9ABC-88BB4F19041D}"/>
    <cellStyle name="40% - Énfasis5 3" xfId="41" xr:uid="{7C86D965-FE1D-4365-A826-5C04ECB036AF}"/>
    <cellStyle name="40% - Énfasis5 4" xfId="39" xr:uid="{24D2B544-4C3F-476A-9973-981E62FEAF1F}"/>
    <cellStyle name="40% - Énfasis6 2" xfId="43" xr:uid="{424B5828-34A5-49CF-8EC6-16FBA984828A}"/>
    <cellStyle name="40% - Énfasis6 3" xfId="44" xr:uid="{F8584966-2744-472F-ABBF-BE0E6043E895}"/>
    <cellStyle name="40% - Énfasis6 4" xfId="42" xr:uid="{2957DE34-35F3-446E-BDFD-5A3281CE4F4E}"/>
    <cellStyle name="60% - Énfasis1 2" xfId="46" xr:uid="{57CA85D5-9CFA-4AC0-8AFD-40FCC00A1F51}"/>
    <cellStyle name="60% - Énfasis1 3" xfId="45" xr:uid="{8CB39B65-DE7B-4429-ADED-9E0097E1A846}"/>
    <cellStyle name="60% - Énfasis2 2" xfId="48" xr:uid="{EEE1437F-3037-4DAA-A2FA-FB9927FE22C7}"/>
    <cellStyle name="60% - Énfasis2 3" xfId="47" xr:uid="{2CCA122D-4623-4853-B177-CF21B6A20A05}"/>
    <cellStyle name="60% - Énfasis3 2" xfId="50" xr:uid="{F3055D50-35C1-4F6D-948C-88FA9074AA3A}"/>
    <cellStyle name="60% - Énfasis3 3" xfId="49" xr:uid="{BB0679BE-C982-41E2-8D45-406A12FD4972}"/>
    <cellStyle name="60% - Énfasis4 2" xfId="52" xr:uid="{FDFA0D30-624B-4833-8887-13F2140BF9CC}"/>
    <cellStyle name="60% - Énfasis4 3" xfId="51" xr:uid="{C4DEEE70-09EF-422A-914B-EEAF7D9ACD0F}"/>
    <cellStyle name="60% - Énfasis5 2" xfId="54" xr:uid="{D91D519B-DA58-4C65-BABD-F87EA944E28E}"/>
    <cellStyle name="60% - Énfasis5 3" xfId="53" xr:uid="{A8B5EF72-C75B-4E0B-873D-02180C8C166D}"/>
    <cellStyle name="60% - Énfasis6 2" xfId="56" xr:uid="{F703CFB2-ABA2-40A6-9C6C-F27F2BA0143F}"/>
    <cellStyle name="60% - Énfasis6 3" xfId="55" xr:uid="{C47266BB-A0BE-48BE-A105-32DC830FBA98}"/>
    <cellStyle name="Buena 2" xfId="57" xr:uid="{6290063D-2F89-47A5-A4BF-1F3176C89CD8}"/>
    <cellStyle name="Cálculo 2" xfId="59" xr:uid="{9A488589-4BE3-4012-910E-B3004AF8F0FC}"/>
    <cellStyle name="Cálculo 3" xfId="58" xr:uid="{AEE5988B-653F-4BAC-B55B-65E6D148D97C}"/>
    <cellStyle name="Celda de comprobación 2" xfId="61" xr:uid="{EF9B4AC8-99C8-4199-9F2A-98FF337B30FC}"/>
    <cellStyle name="Celda de comprobación 3" xfId="60" xr:uid="{52873D38-A78A-4FF6-98C6-6696B13E8C9D}"/>
    <cellStyle name="Celda vinculada 2" xfId="63" xr:uid="{B0B78855-DBDA-4B6C-8C46-7EF5A91FE917}"/>
    <cellStyle name="Celda vinculada 3" xfId="62" xr:uid="{9DB3703C-4A51-4866-9583-A6B117DCA4E5}"/>
    <cellStyle name="Encabezado 4 2" xfId="65" xr:uid="{19820175-B1F7-41F2-A02F-997BC8267B49}"/>
    <cellStyle name="Encabezado 4 3" xfId="64" xr:uid="{F1BA3CC8-CC49-411F-9F7E-02DD983A6226}"/>
    <cellStyle name="Énfasis1 2" xfId="67" xr:uid="{B6867CD5-3C3A-4DEC-87BF-70FCEFB5E1FB}"/>
    <cellStyle name="Énfasis1 3" xfId="66" xr:uid="{F19CADB4-056F-414B-B91E-B60A1F6A81E3}"/>
    <cellStyle name="Énfasis2 2" xfId="69" xr:uid="{688E1CCF-70D9-4C66-AB27-75DC4A916F47}"/>
    <cellStyle name="Énfasis2 3" xfId="68" xr:uid="{272C6735-E1CA-4BC8-87B7-88D735D1EC16}"/>
    <cellStyle name="Énfasis3 2" xfId="71" xr:uid="{0B7E10D3-31F4-482C-934C-699C350E8794}"/>
    <cellStyle name="Énfasis3 3" xfId="70" xr:uid="{E2B0C51B-9F0F-4A87-A78D-0C16A82207B2}"/>
    <cellStyle name="Énfasis4 2" xfId="73" xr:uid="{CF9F562E-D397-4943-8D20-867545B94A18}"/>
    <cellStyle name="Énfasis4 3" xfId="72" xr:uid="{12629808-31DE-4665-9CEF-CD7A388E2AE9}"/>
    <cellStyle name="Énfasis5 2" xfId="75" xr:uid="{B47B2EE4-8870-4358-8BDE-39A6CA4B4D4F}"/>
    <cellStyle name="Énfasis5 3" xfId="74" xr:uid="{4BACF228-89B9-4F64-91FF-1B60FD401901}"/>
    <cellStyle name="Énfasis6 2" xfId="77" xr:uid="{124A17BE-E1F0-4D8E-8189-297296C3BD44}"/>
    <cellStyle name="Énfasis6 3" xfId="76" xr:uid="{84D055E4-1996-4B49-A990-A7E5569DDA8B}"/>
    <cellStyle name="Entrada 2" xfId="79" xr:uid="{6424035E-4C4A-4A3D-8F5B-80350742CA8F}"/>
    <cellStyle name="Entrada 3" xfId="78" xr:uid="{CA9F6637-4332-4135-B042-773FF357C4B1}"/>
    <cellStyle name="Hipervínculo" xfId="120" builtinId="8"/>
    <cellStyle name="Incorrecto 2" xfId="81" xr:uid="{237A24B3-F307-4D9A-898D-87E4AF7D961C}"/>
    <cellStyle name="Incorrecto 3" xfId="80" xr:uid="{A6F71475-AAA2-4AA6-B743-0EA2C50D3C34}"/>
    <cellStyle name="Millares [0]" xfId="114" builtinId="6"/>
    <cellStyle name="Millares [0] 2" xfId="6" xr:uid="{ABF501F3-F30D-42E5-A22E-AD677FB837B1}"/>
    <cellStyle name="Millares [0] 3" xfId="7" xr:uid="{AE900FA2-57EA-44E7-9357-0DCF2B2F4448}"/>
    <cellStyle name="Millares [0] 4" xfId="8" xr:uid="{24AE8270-E779-4A36-B52D-B94DD19E8D5A}"/>
    <cellStyle name="Millares [0] 5" xfId="2" xr:uid="{A77748D9-CAA0-43B0-ADF4-E148E28FC369}"/>
    <cellStyle name="Millares 2" xfId="82" xr:uid="{9EA9AAD1-D5CD-4FD2-B4F2-BB5970EA2783}"/>
    <cellStyle name="Millares 2 2" xfId="83" xr:uid="{EABEF01D-FDF4-4326-975C-2A3D75D6B45C}"/>
    <cellStyle name="Millares 3" xfId="84" xr:uid="{282E4D6E-C260-404B-A815-CA862DE737FC}"/>
    <cellStyle name="Millares 4" xfId="85" xr:uid="{94057163-2D4E-4098-9D47-05650862C4BB}"/>
    <cellStyle name="Millares 5" xfId="116" xr:uid="{1200032C-4298-4EFB-A72B-2C613517B537}"/>
    <cellStyle name="Millares 6" xfId="117" xr:uid="{795CBDF9-8006-458A-B794-90902DCD9A54}"/>
    <cellStyle name="Millares 7" xfId="118" xr:uid="{3649E476-6208-42F5-B6EE-FF4560433F19}"/>
    <cellStyle name="Millares 8" xfId="119" xr:uid="{199205DC-4A38-4CB7-9C0D-59E472EF39D5}"/>
    <cellStyle name="Moneda [0] 2" xfId="3" xr:uid="{8EDF0DB9-D2D4-417C-A4DA-2F4BD57B8641}"/>
    <cellStyle name="Neutral 2" xfId="87" xr:uid="{65C496A4-82C6-4221-994A-166CF43D59F7}"/>
    <cellStyle name="Neutral 3" xfId="86" xr:uid="{9CE80C34-CA45-4C42-8259-1F04B88E6CE9}"/>
    <cellStyle name="Normal" xfId="0" builtinId="0"/>
    <cellStyle name="Normal 2" xfId="4" xr:uid="{4CA2B99A-5ADA-4CDB-A255-313EDA883696}"/>
    <cellStyle name="Normal 2 2" xfId="89" xr:uid="{0AD6A6EF-C36A-4CB4-B055-BBE2798999BA}"/>
    <cellStyle name="Normal 2 2 2" xfId="90" xr:uid="{DBDB5D7C-9280-4EC5-807C-B367C0940E99}"/>
    <cellStyle name="Normal 2 3" xfId="88" xr:uid="{836785CD-8946-4D36-9DA3-93694AFFF11C}"/>
    <cellStyle name="Normal 3" xfId="5" xr:uid="{09DC12C6-CE5C-47C4-A00A-76C2D9ACA9AD}"/>
    <cellStyle name="Normal 3 2" xfId="91" xr:uid="{CE3C9399-33C1-4964-8AF6-8C9572C7A934}"/>
    <cellStyle name="Normal 4" xfId="92" xr:uid="{3C67AB98-7514-494E-8E36-92634FDCE1BA}"/>
    <cellStyle name="Normal 5" xfId="93" xr:uid="{1678BA55-7763-43E5-87D3-6888704BF037}"/>
    <cellStyle name="Normal 6" xfId="113" xr:uid="{C34663E6-B810-45BF-9F0D-EBEC1F5EBC32}"/>
    <cellStyle name="Normal 7" xfId="115" xr:uid="{1FC53E6F-0B8F-4942-A49B-74F7C4AE1740}"/>
    <cellStyle name="Notas 2" xfId="95" xr:uid="{C16D3D06-F88B-4935-8A6F-AFE3EBFD4BF8}"/>
    <cellStyle name="Notas 3" xfId="96" xr:uid="{36936F3C-DD0F-498A-9E30-12117262FEC4}"/>
    <cellStyle name="Notas 4" xfId="94" xr:uid="{B4611D12-4642-4EC5-B8A1-9FB70FD2176F}"/>
    <cellStyle name="Porcentaje" xfId="1" builtinId="5"/>
    <cellStyle name="Porcentaje 2" xfId="97" xr:uid="{0C818654-595F-4A0F-B334-D851F192CD29}"/>
    <cellStyle name="Salida 2" xfId="99" xr:uid="{F1477985-23DF-4009-85D3-CBD590FE15C3}"/>
    <cellStyle name="Salida 3" xfId="98" xr:uid="{7668754A-2584-4960-B157-9237CA6211DE}"/>
    <cellStyle name="Texto de advertencia 2" xfId="101" xr:uid="{6EED56D7-FD92-49E8-AC76-E0822A72E1E4}"/>
    <cellStyle name="Texto de advertencia 3" xfId="100" xr:uid="{150C9556-25EA-4664-951D-3C0BFE641301}"/>
    <cellStyle name="Texto explicativo 2" xfId="103" xr:uid="{751ABF7C-3A6F-441A-9866-8B59AC2B96DA}"/>
    <cellStyle name="Texto explicativo 3" xfId="102" xr:uid="{6723AF69-21E7-4BAB-AF62-FC7CF7E680B0}"/>
    <cellStyle name="Título 1 2" xfId="105" xr:uid="{6D223C1A-31AA-451F-818F-8A7C6EF31AF7}"/>
    <cellStyle name="Título 2 2" xfId="107" xr:uid="{4679312F-DC20-43E4-9F4B-D242EC72FC6A}"/>
    <cellStyle name="Título 2 3" xfId="106" xr:uid="{4377F2A7-B20D-49BC-86F0-17240BC160D5}"/>
    <cellStyle name="Título 3 2" xfId="109" xr:uid="{0428F5AE-DC27-4459-9427-6D7038870E7A}"/>
    <cellStyle name="Título 3 3" xfId="108" xr:uid="{365E3D67-803C-4D8E-B20D-4C5BAC9E8353}"/>
    <cellStyle name="Título 4" xfId="110" xr:uid="{EBD95E8C-708C-4342-BAC3-D90DAF717FF3}"/>
    <cellStyle name="Título 5" xfId="104" xr:uid="{1FC100EB-715F-4887-A440-C60D049016D3}"/>
    <cellStyle name="Total 2" xfId="112" xr:uid="{C0A4370A-CFEA-4793-8647-6C42D175B685}"/>
    <cellStyle name="Total 3" xfId="111" xr:uid="{11B3731C-9D28-4B80-9EDA-023F72DEED31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57150</xdr:rowOff>
    </xdr:from>
    <xdr:to>
      <xdr:col>1</xdr:col>
      <xdr:colOff>1504950</xdr:colOff>
      <xdr:row>3</xdr:row>
      <xdr:rowOff>99695</xdr:rowOff>
    </xdr:to>
    <xdr:pic>
      <xdr:nvPicPr>
        <xdr:cNvPr id="2" name="Imagen 1" descr="Comisión Nacional de Energía -">
          <a:extLst>
            <a:ext uri="{FF2B5EF4-FFF2-40B4-BE49-F238E27FC236}">
              <a16:creationId xmlns:a16="http://schemas.microsoft.com/office/drawing/2014/main" id="{6A653167-1416-475C-BB55-6A60C02A2C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47650"/>
          <a:ext cx="2028825" cy="423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285750</xdr:colOff>
      <xdr:row>0</xdr:row>
      <xdr:rowOff>47625</xdr:rowOff>
    </xdr:from>
    <xdr:to>
      <xdr:col>5</xdr:col>
      <xdr:colOff>63500</xdr:colOff>
      <xdr:row>3</xdr:row>
      <xdr:rowOff>142875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13425191-13CC-4ACE-A5CD-A3E7969E162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229600" y="47625"/>
          <a:ext cx="1301750" cy="66675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454026</xdr:colOff>
      <xdr:row>1</xdr:row>
      <xdr:rowOff>23283</xdr:rowOff>
    </xdr:from>
    <xdr:to>
      <xdr:col>2</xdr:col>
      <xdr:colOff>736601</xdr:colOff>
      <xdr:row>3</xdr:row>
      <xdr:rowOff>65828</xdr:rowOff>
    </xdr:to>
    <xdr:pic>
      <xdr:nvPicPr>
        <xdr:cNvPr id="2" name="Imagen 1" descr="Comisión Nacional de Energía -">
          <a:extLst>
            <a:ext uri="{FF2B5EF4-FFF2-40B4-BE49-F238E27FC236}">
              <a16:creationId xmlns:a16="http://schemas.microsoft.com/office/drawing/2014/main" id="{E0E9279B-64AE-466F-9A13-ECAA6C785A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6" y="213783"/>
          <a:ext cx="2028825" cy="423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581025</xdr:colOff>
      <xdr:row>0</xdr:row>
      <xdr:rowOff>85725</xdr:rowOff>
    </xdr:from>
    <xdr:to>
      <xdr:col>12</xdr:col>
      <xdr:colOff>515408</xdr:colOff>
      <xdr:row>3</xdr:row>
      <xdr:rowOff>137795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5C7CF04E-C147-4F26-95B7-2772015C261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648700" y="85725"/>
          <a:ext cx="1225550" cy="62357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167640</xdr:colOff>
      <xdr:row>7</xdr:row>
      <xdr:rowOff>34290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C9AEAF-F312-42CF-9417-F8AE94ED0CD9}"/>
            </a:ext>
          </a:extLst>
        </xdr:cNvPr>
        <xdr:cNvSpPr txBox="1"/>
      </xdr:nvSpPr>
      <xdr:spPr>
        <a:xfrm>
          <a:off x="6263640" y="155829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L" sz="1100"/>
        </a:p>
      </xdr:txBody>
    </xdr:sp>
    <xdr:clientData/>
  </xdr:oneCellAnchor>
  <xdr:oneCellAnchor>
    <xdr:from>
      <xdr:col>10</xdr:col>
      <xdr:colOff>167640</xdr:colOff>
      <xdr:row>7</xdr:row>
      <xdr:rowOff>34290</xdr:rowOff>
    </xdr:from>
    <xdr:ext cx="65" cy="17222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ACBAFD6-10EC-4C77-A83F-1A4E0FB39C01}"/>
            </a:ext>
          </a:extLst>
        </xdr:cNvPr>
        <xdr:cNvSpPr txBox="1"/>
      </xdr:nvSpPr>
      <xdr:spPr>
        <a:xfrm>
          <a:off x="8549640" y="155829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L" sz="1100"/>
        </a:p>
      </xdr:txBody>
    </xdr:sp>
    <xdr:clientData/>
  </xdr:oneCellAnchor>
  <xdr:oneCellAnchor>
    <xdr:from>
      <xdr:col>12</xdr:col>
      <xdr:colOff>167640</xdr:colOff>
      <xdr:row>7</xdr:row>
      <xdr:rowOff>34290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AF8C8B5-E06B-4942-89D7-F8A3F73F6601}"/>
            </a:ext>
          </a:extLst>
        </xdr:cNvPr>
        <xdr:cNvSpPr txBox="1"/>
      </xdr:nvSpPr>
      <xdr:spPr>
        <a:xfrm>
          <a:off x="12274973" y="194987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L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167640</xdr:colOff>
      <xdr:row>7</xdr:row>
      <xdr:rowOff>34290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90FC5D2-313A-44F1-BA79-F8579E2F3B4A}"/>
            </a:ext>
          </a:extLst>
        </xdr:cNvPr>
        <xdr:cNvSpPr txBox="1"/>
      </xdr:nvSpPr>
      <xdr:spPr>
        <a:xfrm>
          <a:off x="10921365" y="20059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L" sz="1100"/>
        </a:p>
      </xdr:txBody>
    </xdr:sp>
    <xdr:clientData/>
  </xdr:oneCellAnchor>
  <xdr:oneCellAnchor>
    <xdr:from>
      <xdr:col>10</xdr:col>
      <xdr:colOff>167640</xdr:colOff>
      <xdr:row>7</xdr:row>
      <xdr:rowOff>34290</xdr:rowOff>
    </xdr:from>
    <xdr:ext cx="65" cy="17222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713DAA8-08BE-4D13-A11E-01AE6C58D1D8}"/>
            </a:ext>
          </a:extLst>
        </xdr:cNvPr>
        <xdr:cNvSpPr txBox="1"/>
      </xdr:nvSpPr>
      <xdr:spPr>
        <a:xfrm>
          <a:off x="13969365" y="20059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L" sz="1100"/>
        </a:p>
      </xdr:txBody>
    </xdr:sp>
    <xdr:clientData/>
  </xdr:oneCellAnchor>
  <xdr:oneCellAnchor>
    <xdr:from>
      <xdr:col>12</xdr:col>
      <xdr:colOff>167640</xdr:colOff>
      <xdr:row>7</xdr:row>
      <xdr:rowOff>34290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3B8BA6C-FAE5-48D5-A8A8-1B762A4469AD}"/>
            </a:ext>
          </a:extLst>
        </xdr:cNvPr>
        <xdr:cNvSpPr txBox="1"/>
      </xdr:nvSpPr>
      <xdr:spPr>
        <a:xfrm>
          <a:off x="12211473" y="194987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L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D7872-6B9E-4066-90A3-1FD48577F9BC}">
  <sheetPr>
    <tabColor theme="3"/>
  </sheetPr>
  <dimension ref="B5:D36"/>
  <sheetViews>
    <sheetView showGridLines="0" workbookViewId="0">
      <pane ySplit="4" topLeftCell="A8" activePane="bottomLeft" state="frozen"/>
      <selection pane="bottomLeft" activeCell="C11" sqref="C11"/>
    </sheetView>
  </sheetViews>
  <sheetFormatPr defaultColWidth="11.42578125" defaultRowHeight="14.45"/>
  <cols>
    <col min="2" max="2" width="29.140625" customWidth="1"/>
    <col min="3" max="3" width="78.5703125" customWidth="1"/>
  </cols>
  <sheetData>
    <row r="5" spans="2:4" s="3" customFormat="1"/>
    <row r="6" spans="2:4" s="3" customFormat="1" ht="15" customHeight="1">
      <c r="B6" s="282" t="s">
        <v>0</v>
      </c>
      <c r="C6" s="282"/>
    </row>
    <row r="7" spans="2:4" s="3" customFormat="1" ht="15" customHeight="1">
      <c r="B7" s="282"/>
      <c r="C7" s="282"/>
    </row>
    <row r="8" spans="2:4" s="3" customFormat="1" ht="15" customHeight="1">
      <c r="B8" s="282"/>
      <c r="C8" s="282"/>
    </row>
    <row r="9" spans="2:4" ht="15" thickBot="1">
      <c r="B9" s="3"/>
      <c r="C9" s="3"/>
      <c r="D9" s="3"/>
    </row>
    <row r="10" spans="2:4" ht="15" thickBot="1">
      <c r="B10" s="183" t="s">
        <v>1</v>
      </c>
      <c r="C10" s="184" t="s">
        <v>2</v>
      </c>
      <c r="D10" s="3"/>
    </row>
    <row r="11" spans="2:4" ht="46.15" thickBot="1">
      <c r="B11" s="239" t="s">
        <v>3</v>
      </c>
      <c r="C11" s="185" t="s">
        <v>4</v>
      </c>
      <c r="D11" s="8"/>
    </row>
    <row r="12" spans="2:4" s="3" customFormat="1" ht="15" thickBot="1">
      <c r="B12" s="238" t="s">
        <v>5</v>
      </c>
      <c r="C12" s="185" t="s">
        <v>6</v>
      </c>
      <c r="D12" s="8"/>
    </row>
    <row r="13" spans="2:4" ht="23.45" thickBot="1">
      <c r="B13" s="238" t="s">
        <v>7</v>
      </c>
      <c r="C13" s="185" t="s">
        <v>8</v>
      </c>
      <c r="D13" s="3"/>
    </row>
    <row r="14" spans="2:4" ht="23.45" thickBot="1">
      <c r="B14" s="238" t="s">
        <v>9</v>
      </c>
      <c r="C14" s="185" t="s">
        <v>10</v>
      </c>
      <c r="D14" s="3"/>
    </row>
    <row r="15" spans="2:4" ht="23.45" thickBot="1">
      <c r="B15" s="238" t="s">
        <v>11</v>
      </c>
      <c r="C15" s="185" t="s">
        <v>12</v>
      </c>
      <c r="D15" s="3"/>
    </row>
    <row r="16" spans="2:4" s="3" customFormat="1" ht="23.45" thickBot="1">
      <c r="B16" s="238" t="s">
        <v>13</v>
      </c>
      <c r="C16" s="185" t="s">
        <v>14</v>
      </c>
    </row>
    <row r="17" spans="2:3" ht="23.45" thickBot="1">
      <c r="B17" s="238" t="s">
        <v>15</v>
      </c>
      <c r="C17" s="185" t="s">
        <v>16</v>
      </c>
    </row>
    <row r="18" spans="2:3" ht="34.5" customHeight="1" thickBot="1">
      <c r="B18" s="238" t="s">
        <v>17</v>
      </c>
      <c r="C18" s="185" t="s">
        <v>18</v>
      </c>
    </row>
    <row r="19" spans="2:3" ht="23.45" thickBot="1">
      <c r="B19" s="238" t="s">
        <v>19</v>
      </c>
      <c r="C19" s="185" t="s">
        <v>20</v>
      </c>
    </row>
    <row r="20" spans="2:3" ht="23.45" thickBot="1">
      <c r="B20" s="238" t="s">
        <v>21</v>
      </c>
      <c r="C20" s="185" t="s">
        <v>22</v>
      </c>
    </row>
    <row r="22" spans="2:3" ht="15" customHeight="1">
      <c r="B22" s="283" t="s">
        <v>23</v>
      </c>
      <c r="C22" s="283"/>
    </row>
    <row r="23" spans="2:3" ht="13.5" customHeight="1">
      <c r="B23" s="208"/>
      <c r="C23" s="208"/>
    </row>
    <row r="24" spans="2:3" ht="27.75" customHeight="1">
      <c r="B24" s="284" t="s">
        <v>24</v>
      </c>
      <c r="C24" s="284"/>
    </row>
    <row r="25" spans="2:3" ht="9.75" customHeight="1">
      <c r="B25" s="209"/>
      <c r="C25" s="209"/>
    </row>
    <row r="26" spans="2:3" ht="24" customHeight="1">
      <c r="B26" s="281" t="s">
        <v>25</v>
      </c>
      <c r="C26" s="281"/>
    </row>
    <row r="27" spans="2:3" ht="9" customHeight="1">
      <c r="B27" s="210"/>
      <c r="C27" s="210"/>
    </row>
    <row r="28" spans="2:3" ht="36" customHeight="1">
      <c r="B28" s="281" t="s">
        <v>26</v>
      </c>
      <c r="C28" s="281"/>
    </row>
    <row r="29" spans="2:3" ht="9.75" customHeight="1">
      <c r="B29" s="210"/>
      <c r="C29" s="210"/>
    </row>
    <row r="30" spans="2:3" ht="36.75" customHeight="1">
      <c r="B30" s="281" t="s">
        <v>27</v>
      </c>
      <c r="C30" s="281"/>
    </row>
    <row r="31" spans="2:3" ht="9.75" customHeight="1">
      <c r="B31" s="210"/>
      <c r="C31" s="210"/>
    </row>
    <row r="32" spans="2:3" ht="36.75" customHeight="1">
      <c r="B32" s="281" t="s">
        <v>28</v>
      </c>
      <c r="C32" s="281"/>
    </row>
    <row r="33" spans="2:3" ht="10.5" customHeight="1">
      <c r="B33" s="3"/>
      <c r="C33" s="3"/>
    </row>
    <row r="34" spans="2:3" ht="25.5" customHeight="1">
      <c r="B34" s="281" t="s">
        <v>29</v>
      </c>
      <c r="C34" s="281"/>
    </row>
    <row r="35" spans="2:3" ht="11.25" customHeight="1">
      <c r="B35" s="3"/>
      <c r="C35" s="3"/>
    </row>
    <row r="36" spans="2:3" ht="26.25" customHeight="1">
      <c r="B36" s="281" t="s">
        <v>30</v>
      </c>
      <c r="C36" s="281"/>
    </row>
  </sheetData>
  <sheetProtection algorithmName="SHA-512" hashValue="sX17PuUTha1XAxFZzVocDwAxS53yc2c0kp2jR2j5neWX4RO4UDaiucLzJRtdy2x6BIpIRzFDBzqua0C5pFcy0Q==" saltValue="Ld1ZUm0R45txlEQ4L4QIvg==" spinCount="100000" sheet="1" objects="1" scenarios="1"/>
  <mergeCells count="9">
    <mergeCell ref="B36:C36"/>
    <mergeCell ref="B28:C28"/>
    <mergeCell ref="B30:C30"/>
    <mergeCell ref="B32:C32"/>
    <mergeCell ref="B6:C8"/>
    <mergeCell ref="B22:C22"/>
    <mergeCell ref="B24:C24"/>
    <mergeCell ref="B26:C26"/>
    <mergeCell ref="B34:C34"/>
  </mergeCells>
  <hyperlinks>
    <hyperlink ref="B11" location="Resultados!A1" display="Resultados" xr:uid="{83B6A777-ECE2-4581-BFCF-E9AC3ABDA320}"/>
    <hyperlink ref="B12" location="'Mes Año Costo de Falla'!A1" display="Mes Año Costo de Falla" xr:uid="{863304D8-3293-4E17-A916-D2954C0E3614}"/>
    <hyperlink ref="B13" location="'Ingreso Tarifas BT1'!A1" display="Ingreso Datos Residencial (BT1)" xr:uid="{32960D1A-79C2-40C1-9365-00058F08CA28}"/>
    <hyperlink ref="B14" location="'Ingreso Tarifas AT4.3'!A1" display="Ingreso Tarifas AT4.3" xr:uid="{B8D3B58B-D512-48AD-9D95-81390765AB4B}"/>
    <hyperlink ref="B15" location="'Ingreso Index Min, Indus y Serv'!A1" display="Ingreso Index Min, Indus y Serv" xr:uid="{6BC91E59-8DCF-4323-8E84-42DE6E44581D}"/>
    <hyperlink ref="B16" location="'Select Index Min, Indust y Serv'!A1" display="Select Index Min, Indust y Serv" xr:uid="{05C55537-D32E-443D-A2EE-1BF28086BA7B}"/>
    <hyperlink ref="B17" location="'Participación por Sistema'!A1" display="Participación por Sistema" xr:uid="{F6766727-6D3E-44A7-9E23-FCE390E0AAF0}"/>
    <hyperlink ref="B18" location="'Encuestas Min, Indust y Serv'!A1" display="Encuesta Min, Indust y Serv" xr:uid="{4EF9D856-DA64-4EBB-AEF3-B9A4FE534F96}"/>
    <hyperlink ref="B19" location="'Econométrico Comercio'!A1" display="Econométrico Comercio" xr:uid="{935BF8BB-499D-4C4D-90BA-7B68635F3EF8}"/>
    <hyperlink ref="B20" location="'Econométrico Residencial'!A1" display="Econométrico Residencial" xr:uid="{EFFAEFC1-3909-4773-A934-025002E0A5F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61A8-5EA5-4AEE-BBE5-A25D8C6C6519}">
  <sheetPr codeName="Hoja1">
    <tabColor theme="3"/>
  </sheetPr>
  <dimension ref="A1:S86"/>
  <sheetViews>
    <sheetView showGridLines="0" tabSelected="1" zoomScale="130" zoomScaleNormal="130" workbookViewId="0">
      <pane ySplit="6" topLeftCell="A7" activePane="bottomLeft" state="frozen"/>
      <selection pane="bottomLeft" activeCell="H4" sqref="H4"/>
    </sheetView>
  </sheetViews>
  <sheetFormatPr defaultColWidth="11.42578125" defaultRowHeight="14.45"/>
  <cols>
    <col min="1" max="1" width="11.42578125" style="3"/>
    <col min="2" max="2" width="14.7109375" bestFit="1" customWidth="1"/>
    <col min="3" max="3" width="24.5703125" style="3" customWidth="1"/>
    <col min="4" max="19" width="9.7109375" customWidth="1"/>
  </cols>
  <sheetData>
    <row r="1" spans="2:19" s="3" customFormat="1"/>
    <row r="2" spans="2:19" s="3" customFormat="1"/>
    <row r="3" spans="2:19" s="3" customFormat="1"/>
    <row r="4" spans="2:19" s="3" customFormat="1"/>
    <row r="5" spans="2:19" s="3" customFormat="1" ht="15" thickBot="1">
      <c r="D5" s="11"/>
    </row>
    <row r="6" spans="2:19" s="189" customFormat="1" ht="16.899999999999999" thickTop="1" thickBot="1">
      <c r="B6" s="316" t="s">
        <v>31</v>
      </c>
      <c r="C6" s="317"/>
      <c r="D6" s="237">
        <v>44166</v>
      </c>
    </row>
    <row r="7" spans="2:19" s="3" customFormat="1" ht="15.6" thickTop="1" thickBot="1">
      <c r="D7" s="7"/>
    </row>
    <row r="8" spans="2:19" s="3" customFormat="1" ht="30.75" customHeight="1" thickBot="1">
      <c r="D8" s="295" t="s">
        <v>32</v>
      </c>
      <c r="E8" s="285"/>
      <c r="F8" s="285"/>
      <c r="G8" s="286"/>
      <c r="H8" s="285" t="s">
        <v>33</v>
      </c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6"/>
    </row>
    <row r="9" spans="2:19" s="3" customFormat="1">
      <c r="B9" s="336" t="s">
        <v>34</v>
      </c>
      <c r="C9" s="298" t="s">
        <v>35</v>
      </c>
      <c r="D9" s="291" t="s">
        <v>36</v>
      </c>
      <c r="E9" s="293" t="s">
        <v>37</v>
      </c>
      <c r="F9" s="293" t="s">
        <v>38</v>
      </c>
      <c r="G9" s="293" t="s">
        <v>39</v>
      </c>
      <c r="H9" s="339" t="s">
        <v>40</v>
      </c>
      <c r="I9" s="288"/>
      <c r="J9" s="288"/>
      <c r="K9" s="289"/>
      <c r="L9" s="287" t="s">
        <v>41</v>
      </c>
      <c r="M9" s="288"/>
      <c r="N9" s="288"/>
      <c r="O9" s="289"/>
      <c r="P9" s="287" t="s">
        <v>42</v>
      </c>
      <c r="Q9" s="288"/>
      <c r="R9" s="288"/>
      <c r="S9" s="290"/>
    </row>
    <row r="10" spans="2:19" s="3" customFormat="1" ht="15" thickBot="1">
      <c r="B10" s="337"/>
      <c r="C10" s="299"/>
      <c r="D10" s="292"/>
      <c r="E10" s="294"/>
      <c r="F10" s="294"/>
      <c r="G10" s="294"/>
      <c r="H10" s="149">
        <v>0.05</v>
      </c>
      <c r="I10" s="139">
        <v>0.1</v>
      </c>
      <c r="J10" s="139">
        <v>0.2</v>
      </c>
      <c r="K10" s="140">
        <v>0.3</v>
      </c>
      <c r="L10" s="141">
        <v>0.05</v>
      </c>
      <c r="M10" s="139">
        <v>0.1</v>
      </c>
      <c r="N10" s="139">
        <v>0.2</v>
      </c>
      <c r="O10" s="140">
        <v>0.3</v>
      </c>
      <c r="P10" s="141">
        <v>0.05</v>
      </c>
      <c r="Q10" s="139">
        <v>0.1</v>
      </c>
      <c r="R10" s="139">
        <v>0.2</v>
      </c>
      <c r="S10" s="142">
        <v>0.3</v>
      </c>
    </row>
    <row r="11" spans="2:19" s="3" customFormat="1">
      <c r="B11" s="338" t="s">
        <v>43</v>
      </c>
      <c r="C11" s="114">
        <f>'Select Index Min, Indust y Serv'!H1</f>
        <v>43800</v>
      </c>
      <c r="D11" s="118">
        <f>(E37*'Participación por Sistema'!$E$5)+(E39*'Participación por Sistema'!$E$6)+(E41*'Participación por Sistema'!$E$7)+($E$43*'Participación por Sistema'!$E$8)+(AVERAGE(E37,E39,E41)*'Participación por Sistema'!$E$9)+($E$51*'Participación por Sistema'!$E$11)+($E$43*'Participación por Sistema'!$E$12)</f>
        <v>3496.8082455403478</v>
      </c>
      <c r="E11" s="269">
        <f>(F37*'Participación por Sistema'!$E$5)+(F39*'Participación por Sistema'!$E$6)+(F41*'Participación por Sistema'!$E$7)+($E$43*'Participación por Sistema'!$E$8)+(AVERAGE(F37,F39,F41)*'Participación por Sistema'!$E$9)+($E$51*'Participación por Sistema'!$E$11)+($E$43*'Participación por Sistema'!$E$12)</f>
        <v>2027.9272040917872</v>
      </c>
      <c r="F11" s="269">
        <f>(G37*'Participación por Sistema'!$E$5)+(G39*'Participación por Sistema'!$E$6)+(G41*'Participación por Sistema'!$E$7)+($E$43*'Participación por Sistema'!$E$8)+(AVERAGE(G37,G39,G41)*'Participación por Sistema'!$E$9)+($E$51*'Participación por Sistema'!$E$11)+($E$43*'Participación por Sistema'!$E$12)</f>
        <v>1371.1478284478706</v>
      </c>
      <c r="G11" s="269">
        <f>(H37*'Participación por Sistema'!$E$5)+(H39*'Participación por Sistema'!$E$6)+(H41*'Participación por Sistema'!$E$7)+($E$43*'Participación por Sistema'!$E$8)+(AVERAGE(H37,H39,H41)*'Participación por Sistema'!$E$9)+($E$51*'Participación por Sistema'!$E$11)+($E$43*'Participación por Sistema'!$E$12)</f>
        <v>1012.5756656618175</v>
      </c>
      <c r="H11" s="150">
        <f>(E65*'Participación por Sistema'!$E$5)+(E67*'Participación por Sistema'!$E$6)+(E69*'Participación por Sistema'!$E$7)+(E71*'Participación por Sistema'!$E$8)+(AVERAGE(E65,E67,E69)*'Participación por Sistema'!$E$9)+(E79*'Participación por Sistema'!$E$11)+(E71*'Participación por Sistema'!$E$12)</f>
        <v>242.33787994817638</v>
      </c>
      <c r="I11" s="144">
        <f>(F65*'Participación por Sistema'!$E$5)+(F67*'Participación por Sistema'!$E$6)+(F69*'Participación por Sistema'!$E$7)+(F71*'Participación por Sistema'!$E$8)+(AVERAGE(F65,F67,F69)*'Participación por Sistema'!$E$9)+(F79*'Participación por Sistema'!$E$11)+(F71*'Participación por Sistema'!$E$12)</f>
        <v>267.08491131337826</v>
      </c>
      <c r="J11" s="144">
        <f>(G65*'Participación por Sistema'!$E$5)+(G67*'Participación por Sistema'!$E$6)+(G69*'Participación por Sistema'!$E$7)+(G71*'Participación por Sistema'!$E$8)+(AVERAGE(G65,G67,G69)*'Participación por Sistema'!$E$9)+(G79*'Participación por Sistema'!$E$11)+(G71*'Participación por Sistema'!$E$12)</f>
        <v>323.06982304654105</v>
      </c>
      <c r="K11" s="144">
        <f>(H65*'Participación por Sistema'!$E$5)+(H67*'Participación por Sistema'!$E$6)+(H69*'Participación por Sistema'!$E$7)+(H71*'Participación por Sistema'!$E$8)+(AVERAGE(H65,H67,H69)*'Participación por Sistema'!$E$9)+(H79*'Participación por Sistema'!$E$11)+(H71*'Participación por Sistema'!$E$12)</f>
        <v>370.07333463247039</v>
      </c>
      <c r="L11" s="143">
        <f>(I65*'Participación por Sistema'!$E$5)+(I67*'Participación por Sistema'!$E$6)+(I69*'Participación por Sistema'!$E$7)+(I71*'Participación por Sistema'!$E$8)+(AVERAGE(I65,I67,I69)*'Participación por Sistema'!$E$9)+(I79*'Participación por Sistema'!$E$11)+(I71*'Participación por Sistema'!$E$12)</f>
        <v>227.95400975774936</v>
      </c>
      <c r="M11" s="144">
        <f>(J65*'Participación por Sistema'!$E$5)+(J67*'Participación por Sistema'!$E$6)+(J69*'Participación por Sistema'!$E$7)+(J71*'Participación por Sistema'!$E$8)+(AVERAGE(J65,J67,J69)*'Participación por Sistema'!$E$9)+(J79*'Participación por Sistema'!$E$11)+(J71*'Participación por Sistema'!$E$12)</f>
        <v>244.80717294529541</v>
      </c>
      <c r="N11" s="144">
        <f>(K65*'Participación por Sistema'!$E$5)+(K67*'Participación por Sistema'!$E$6)+(K69*'Participación por Sistema'!$E$7)+(K71*'Participación por Sistema'!$E$8)+(AVERAGE(K65,K67,K69)*'Participación por Sistema'!$E$9)+(K79*'Participación por Sistema'!$E$11)+(K71*'Participación por Sistema'!$E$12)</f>
        <v>279.02332101894359</v>
      </c>
      <c r="O11" s="145">
        <f>(L65*'Participación por Sistema'!$E$5)+(L67*'Participación por Sistema'!$E$6)+(L69*'Participación por Sistema'!$E$7)+(L71*'Participación por Sistema'!$E$8)+(AVERAGE(L65,L67,L69)*'Participación por Sistema'!$E$9)+(L79*'Participación por Sistema'!$E$11)+(L71*'Participación por Sistema'!$E$12)</f>
        <v>315.2571205936743</v>
      </c>
      <c r="P11" s="144">
        <f>(M65*'Participación por Sistema'!$E$5)+(M67*'Participación por Sistema'!$E$6)+(M69*'Participación por Sistema'!$E$7)+(M71*'Participación por Sistema'!$E$8)+(AVERAGE(M65,M67,M69)*'Participación por Sistema'!$E$9)+(M79*'Participación por Sistema'!$E$11)+(M71*'Participación por Sistema'!$E$12)</f>
        <v>211.5892620164876</v>
      </c>
      <c r="Q11" s="144">
        <f>(N65*'Participación por Sistema'!$E$5)+(N67*'Participación por Sistema'!$E$6)+(N69*'Participación por Sistema'!$E$7)+(N71*'Participación por Sistema'!$E$8)+(AVERAGE(N65,N67,N69)*'Participación por Sistema'!$E$9)+(N79*'Participación por Sistema'!$E$11)+(N71*'Participación por Sistema'!$E$12)</f>
        <v>220.13310438098753</v>
      </c>
      <c r="R11" s="144">
        <f>(O65*'Participación por Sistema'!$E$5)+(O67*'Participación por Sistema'!$E$6)+(O69*'Participación por Sistema'!$E$7)+(O71*'Participación por Sistema'!$E$8)+(AVERAGE(O65,O67,O69)*'Participación por Sistema'!$E$9)+(O79*'Participación por Sistema'!$E$11)+(O71*'Participación por Sistema'!$E$12)</f>
        <v>234.82325835956766</v>
      </c>
      <c r="S11" s="151">
        <f>(P65*'Participación por Sistema'!$E$5)+(P67*'Participación por Sistema'!$E$6)+(P69*'Participación por Sistema'!$E$7)+(P71*'Participación por Sistema'!$E$8)+(AVERAGE(P65,P67,P69)*'Participación por Sistema'!$E$9)+(P79*'Participación por Sistema'!$E$11)+(P71*'Participación por Sistema'!$E$12)</f>
        <v>253.38064351047407</v>
      </c>
    </row>
    <row r="12" spans="2:19" s="3" customFormat="1">
      <c r="B12" s="325"/>
      <c r="C12" s="115">
        <f>D6</f>
        <v>44166</v>
      </c>
      <c r="D12" s="264">
        <f>(E38*'Participación por Sistema'!$E$5)+(E40*'Participación por Sistema'!$E$6)+(E42*'Participación por Sistema'!$E$7)+($E$44*'Participación por Sistema'!$E$8)+(AVERAGE(E38,E40,E42)*'Participación por Sistema'!$E$9)+($E$52*'Participación por Sistema'!$E$11)+($E$44*'Participación por Sistema'!$E$12)</f>
        <v>3894.9983152012524</v>
      </c>
      <c r="E12" s="265">
        <f>(F38*'Participación por Sistema'!$E$5)+(F40*'Participación por Sistema'!$E$6)+(F42*'Participación por Sistema'!$E$7)+($E$44*'Participación por Sistema'!$E$8)+(AVERAGE(F38,F40,F42)*'Participación por Sistema'!$E$9)+($E$52*'Participación por Sistema'!$E$11)+($E$44*'Participación por Sistema'!$E$12)</f>
        <v>2212.6622457111316</v>
      </c>
      <c r="F12" s="265">
        <f>(G38*'Participación por Sistema'!$E$5)+(G40*'Participación por Sistema'!$E$6)+(G42*'Participación por Sistema'!$E$7)+($E$44*'Participación por Sistema'!$E$8)+(AVERAGE(G38,G40,G42)*'Participación por Sistema'!$E$9)+($E$52*'Participación por Sistema'!$E$11)+($E$44*'Participación por Sistema'!$E$12)</f>
        <v>1453.6716682561198</v>
      </c>
      <c r="G12" s="265">
        <f>(H38*'Participación por Sistema'!$E$5)+(H40*'Participación por Sistema'!$E$6)+(H42*'Participación por Sistema'!$E$7)+($E$44*'Participación por Sistema'!$E$8)+(AVERAGE(H38,H40,H42)*'Participación por Sistema'!$E$9)+($E$52*'Participación por Sistema'!$E$11)+($E$44*'Participación por Sistema'!$E$12)</f>
        <v>1058.330184452416</v>
      </c>
      <c r="H12" s="152">
        <f>(E66*'Participación por Sistema'!$E$5)+(E68*'Participación por Sistema'!$E$6)+(E70*'Participación por Sistema'!$E$7)+(E72*'Participación por Sistema'!$E$8)+(AVERAGE(E66,E68,E70)*'Participación por Sistema'!$E$9)+(E80*'Participación por Sistema'!$E$11)+(E72*'Participación por Sistema'!$E$12)</f>
        <v>250.71179857781104</v>
      </c>
      <c r="I12" s="147">
        <f>(F66*'Participación por Sistema'!$E$5)+(F68*'Participación por Sistema'!$E$6)+(F70*'Participación por Sistema'!$E$7)+(F72*'Participación por Sistema'!$E$8)+(AVERAGE(F66,F68,F70)*'Participación por Sistema'!$E$9)+(F80*'Participación por Sistema'!$E$11)+(F72*'Participación por Sistema'!$E$12)</f>
        <v>275.65626051882145</v>
      </c>
      <c r="J12" s="147">
        <f>(G66*'Participación por Sistema'!$E$5)+(G68*'Participación por Sistema'!$E$6)+(G70*'Participación por Sistema'!$E$7)+(G72*'Participación por Sistema'!$E$8)+(AVERAGE(G66,G68,G70)*'Participación por Sistema'!$E$9)+(G80*'Participación por Sistema'!$E$11)+(G72*'Participación por Sistema'!$E$12)</f>
        <v>330.55116921381415</v>
      </c>
      <c r="K12" s="147">
        <f>(H66*'Participación por Sistema'!$E$5)+(H68*'Participación por Sistema'!$E$6)+(H70*'Participación por Sistema'!$E$7)+(H72*'Participación por Sistema'!$E$8)+(AVERAGE(H66,H68,H70)*'Participación por Sistema'!$E$9)+(H80*'Participación por Sistema'!$E$11)+(H72*'Participación por Sistema'!$E$12)</f>
        <v>378.9318327001339</v>
      </c>
      <c r="L12" s="146">
        <f>(I66*'Participación por Sistema'!$E$5)+(I68*'Participación por Sistema'!$E$6)+(I70*'Participación por Sistema'!$E$7)+(I72*'Participación por Sistema'!$E$8)+(AVERAGE(I66,I68,I70)*'Participación por Sistema'!$E$9)+(I80*'Participación por Sistema'!$E$11)+(I72*'Participación por Sistema'!$E$12)</f>
        <v>235.99625082271095</v>
      </c>
      <c r="M12" s="147">
        <f>(J66*'Participación por Sistema'!$E$5)+(J68*'Participación por Sistema'!$E$6)+(J70*'Participación por Sistema'!$E$7)+(J72*'Participación por Sistema'!$E$8)+(AVERAGE(J66,J68,J70)*'Participación por Sistema'!$E$9)+(J80*'Participación por Sistema'!$E$11)+(J72*'Participación por Sistema'!$E$12)</f>
        <v>252.88634256415841</v>
      </c>
      <c r="N12" s="147">
        <f>(K66*'Participación por Sistema'!$E$5)+(K68*'Participación por Sistema'!$E$6)+(K70*'Participación por Sistema'!$E$7)+(K72*'Participación por Sistema'!$E$8)+(AVERAGE(K66,K68,K70)*'Participación por Sistema'!$E$9)+(K80*'Participación por Sistema'!$E$11)+(K72*'Participación por Sistema'!$E$12)</f>
        <v>287.40300338875056</v>
      </c>
      <c r="O12" s="148">
        <f>(L66*'Participación por Sistema'!$E$5)+(L68*'Participación por Sistema'!$E$6)+(L70*'Participación por Sistema'!$E$7)+(L72*'Participación por Sistema'!$E$8)+(AVERAGE(L66,L68,L70)*'Participación por Sistema'!$E$9)+(L80*'Participación por Sistema'!$E$11)+(L72*'Participación por Sistema'!$E$12)</f>
        <v>324.11400806270234</v>
      </c>
      <c r="P12" s="147">
        <f>(M66*'Participación por Sistema'!$E$5)+(M68*'Participación por Sistema'!$E$6)+(M70*'Participación por Sistema'!$E$7)+(M72*'Participación por Sistema'!$E$8)+(AVERAGE(M66,M68,M70)*'Participación por Sistema'!$E$9)+(M80*'Participación por Sistema'!$E$11)+(M72*'Participación por Sistema'!$E$12)</f>
        <v>220.82703734185927</v>
      </c>
      <c r="Q12" s="147">
        <f>(N66*'Participación por Sistema'!$E$5)+(N68*'Participación por Sistema'!$E$6)+(N70*'Participación por Sistema'!$E$7)+(N72*'Participación por Sistema'!$E$8)+(AVERAGE(N66,N68,N70)*'Participación por Sistema'!$E$9)+(N80*'Participación por Sistema'!$E$11)+(N72*'Participación por Sistema'!$E$12)</f>
        <v>229.36880589241474</v>
      </c>
      <c r="R12" s="147">
        <f>(O66*'Participación por Sistema'!$E$5)+(O68*'Participación por Sistema'!$E$6)+(O70*'Participación por Sistema'!$E$7)+(O72*'Participación por Sistema'!$E$8)+(AVERAGE(O66,O68,O70)*'Participación por Sistema'!$E$9)+(O80*'Participación por Sistema'!$E$11)+(O72*'Participación por Sistema'!$E$12)</f>
        <v>245.02190453095665</v>
      </c>
      <c r="S12" s="153">
        <f>(P66*'Participación por Sistema'!$E$5)+(P68*'Participación por Sistema'!$E$6)+(P70*'Participación por Sistema'!$E$7)+(P72*'Participación por Sistema'!$E$8)+(AVERAGE(P66,P68,P70)*'Participación por Sistema'!$E$9)+(P80*'Participación por Sistema'!$E$11)+(P72*'Participación por Sistema'!$E$12)</f>
        <v>264.08914342585967</v>
      </c>
    </row>
    <row r="13" spans="2:19" s="3" customFormat="1">
      <c r="B13" s="324" t="s">
        <v>44</v>
      </c>
      <c r="C13" s="116">
        <f>'Select Index Min, Indust y Serv'!H1</f>
        <v>43800</v>
      </c>
      <c r="D13" s="341">
        <f>(E45*'Participación por Sistema'!$H$16)+(E53*'Participación por Sistema'!$H$15)</f>
        <v>1405.7939950556718</v>
      </c>
      <c r="E13" s="342"/>
      <c r="F13" s="342"/>
      <c r="G13" s="342"/>
      <c r="H13" s="150">
        <f>(E73*'Participación por Sistema'!$H$16)+(E79*'Participación por Sistema'!$H$15)</f>
        <v>200.26405924580234</v>
      </c>
      <c r="I13" s="144">
        <f>(F73*'Participación por Sistema'!$H$16)+(F79*'Participación por Sistema'!$H$15)</f>
        <v>265.79341626949406</v>
      </c>
      <c r="J13" s="144">
        <f>(G73*'Participación por Sistema'!$H$16)+(G79*'Participación por Sistema'!$H$15)</f>
        <v>396.85213031687766</v>
      </c>
      <c r="K13" s="144">
        <f>(H73*'Participación por Sistema'!$H$16)+(H79*'Participación por Sistema'!$H$15)</f>
        <v>527.91084436426115</v>
      </c>
      <c r="L13" s="143">
        <f>(I73*'Participación por Sistema'!$H$16)+(I79*'Participación por Sistema'!$H$15)</f>
        <v>174.1333842777488</v>
      </c>
      <c r="M13" s="144">
        <f>(J73*'Participación por Sistema'!$H$16)+(J79*'Participación por Sistema'!$H$15)</f>
        <v>213.53206633338709</v>
      </c>
      <c r="N13" s="144">
        <f>(K73*'Participación por Sistema'!$H$16)+(K79*'Participación por Sistema'!$H$15)</f>
        <v>292.32943044466367</v>
      </c>
      <c r="O13" s="145">
        <f>(L73*'Participación por Sistema'!$H$16)+(L79*'Participación por Sistema'!$H$15)</f>
        <v>371.12679455594025</v>
      </c>
      <c r="P13" s="144">
        <f>(M73*'Participación por Sistema'!$H$16)+(M79*'Participación por Sistema'!$H$15)</f>
        <v>149.79260491198619</v>
      </c>
      <c r="Q13" s="144">
        <f>(N73*'Participación por Sistema'!$H$16)+(N79*'Participación por Sistema'!$H$15)</f>
        <v>164.85050760186186</v>
      </c>
      <c r="R13" s="144">
        <f>(O73*'Participación por Sistema'!$H$16)+(O79*'Participación por Sistema'!$H$15)</f>
        <v>194.96631298161327</v>
      </c>
      <c r="S13" s="151">
        <f>(P73*'Participación por Sistema'!$H$16)+(P79*'Participación por Sistema'!$H$15)</f>
        <v>225.08211836136462</v>
      </c>
    </row>
    <row r="14" spans="2:19" s="3" customFormat="1">
      <c r="B14" s="325"/>
      <c r="C14" s="115">
        <f>D6</f>
        <v>44166</v>
      </c>
      <c r="D14" s="343">
        <f>(E46*'Participación por Sistema'!$H$16)+(E54*'Participación por Sistema'!$H$15)</f>
        <v>1405.7939950556718</v>
      </c>
      <c r="E14" s="344"/>
      <c r="F14" s="344"/>
      <c r="G14" s="344"/>
      <c r="H14" s="152">
        <f>(E74*'Participación por Sistema'!$H$16)+(E80*'Participación por Sistema'!$H$15)</f>
        <v>200.26405924580234</v>
      </c>
      <c r="I14" s="147">
        <f>(F74*'Participación por Sistema'!$H$16)+(F80*'Participación por Sistema'!$H$15)</f>
        <v>265.79341626949406</v>
      </c>
      <c r="J14" s="147">
        <f>(G74*'Participación por Sistema'!$H$16)+(G80*'Participación por Sistema'!$H$15)</f>
        <v>396.85213031687766</v>
      </c>
      <c r="K14" s="147">
        <f>(H74*'Participación por Sistema'!$H$16)+(H80*'Participación por Sistema'!$H$15)</f>
        <v>527.91084436426115</v>
      </c>
      <c r="L14" s="146">
        <f>(I74*'Participación por Sistema'!$H$16)+(I80*'Participación por Sistema'!$H$15)</f>
        <v>174.1333842777488</v>
      </c>
      <c r="M14" s="147">
        <f>(J74*'Participación por Sistema'!$H$16)+(J80*'Participación por Sistema'!$H$15)</f>
        <v>213.53206633338709</v>
      </c>
      <c r="N14" s="147">
        <f>(K74*'Participación por Sistema'!$H$16)+(K80*'Participación por Sistema'!$H$15)</f>
        <v>292.32943044466367</v>
      </c>
      <c r="O14" s="148">
        <f>(L74*'Participación por Sistema'!$H$16)+(L80*'Participación por Sistema'!$H$15)</f>
        <v>371.12679455594025</v>
      </c>
      <c r="P14" s="147">
        <f>(M74*'Participación por Sistema'!$H$16)+(M80*'Participación por Sistema'!$H$15)</f>
        <v>149.79260491198619</v>
      </c>
      <c r="Q14" s="147">
        <f>(N74*'Participación por Sistema'!$H$16)+(N80*'Participación por Sistema'!$H$15)</f>
        <v>164.85050760186186</v>
      </c>
      <c r="R14" s="147">
        <f>(O74*'Participación por Sistema'!$H$16)+(O80*'Participación por Sistema'!$H$15)</f>
        <v>194.96631298161327</v>
      </c>
      <c r="S14" s="153">
        <f>(P74*'Participación por Sistema'!$H$16)+(P80*'Participación por Sistema'!$H$15)</f>
        <v>225.08211836136462</v>
      </c>
    </row>
    <row r="15" spans="2:19" s="3" customFormat="1">
      <c r="B15" s="324" t="s">
        <v>45</v>
      </c>
      <c r="C15" s="96">
        <f>'Select Index Min, Indust y Serv'!H1</f>
        <v>43800</v>
      </c>
      <c r="D15" s="341">
        <f>(E45*'Participación por Sistema'!$I$16)+(E53*'Participación por Sistema'!$I$15)</f>
        <v>1413.5944064627524</v>
      </c>
      <c r="E15" s="342"/>
      <c r="F15" s="342"/>
      <c r="G15" s="342"/>
      <c r="H15" s="150">
        <f>(E73*'Participación por Sistema'!$I$16)+(E79*'Participación por Sistema'!$I$15)</f>
        <v>201.09974985849777</v>
      </c>
      <c r="I15" s="144">
        <f>(F73*'Participación por Sistema'!$I$16)+(F79*'Participación por Sistema'!$I$15)</f>
        <v>267.12055433363361</v>
      </c>
      <c r="J15" s="144">
        <f>(G73*'Participación por Sistema'!$I$16)+(G79*'Participación por Sistema'!$I$15)</f>
        <v>399.16216328390533</v>
      </c>
      <c r="K15" s="144">
        <f>(H73*'Participación por Sistema'!$I$16)+(H79*'Participación por Sistema'!$I$15)</f>
        <v>531.20377223417699</v>
      </c>
      <c r="L15" s="143">
        <f>(I73*'Participación por Sistema'!$I$16)+(I79*'Participación por Sistema'!$I$15)</f>
        <v>175.06739692034648</v>
      </c>
      <c r="M15" s="144">
        <f>(J73*'Participación por Sistema'!$I$16)+(J79*'Participación por Sistema'!$I$15)</f>
        <v>215.05584845733108</v>
      </c>
      <c r="N15" s="144">
        <f>(K73*'Participación por Sistema'!$I$16)+(K79*'Participación por Sistema'!$I$15)</f>
        <v>295.03275153130033</v>
      </c>
      <c r="O15" s="145">
        <f>(L73*'Participación por Sistema'!$I$16)+(L79*'Participación por Sistema'!$I$15)</f>
        <v>375.00965460526959</v>
      </c>
      <c r="P15" s="144">
        <f>(M73*'Participación por Sistema'!$I$16)+(M79*'Participación por Sistema'!$I$15)</f>
        <v>150.55515234080809</v>
      </c>
      <c r="Q15" s="144">
        <f>(N73*'Participación por Sistema'!$I$16)+(N79*'Participación por Sistema'!$I$15)</f>
        <v>166.03135929825433</v>
      </c>
      <c r="R15" s="144">
        <f>(O73*'Participación por Sistema'!$I$16)+(O79*'Participación por Sistema'!$I$15)</f>
        <v>196.98377321314683</v>
      </c>
      <c r="S15" s="151">
        <f>(P73*'Participación por Sistema'!$I$16)+(P79*'Participación por Sistema'!$I$15)</f>
        <v>227.93618712803925</v>
      </c>
    </row>
    <row r="16" spans="2:19" s="3" customFormat="1">
      <c r="B16" s="325"/>
      <c r="C16" s="96">
        <f>D6</f>
        <v>44166</v>
      </c>
      <c r="D16" s="343">
        <f>(E46*'Participación por Sistema'!$I$16)+(E54*'Participación por Sistema'!$I$15)</f>
        <v>1413.5944064627524</v>
      </c>
      <c r="E16" s="344"/>
      <c r="F16" s="344"/>
      <c r="G16" s="344"/>
      <c r="H16" s="102">
        <f>(E74*'Participación por Sistema'!$I$16)+(E80*'Participación por Sistema'!$I$15)</f>
        <v>201.09974985849777</v>
      </c>
      <c r="I16" s="103">
        <f>(F74*'Participación por Sistema'!$I$16)+(F80*'Participación por Sistema'!$I$15)</f>
        <v>267.12055433363361</v>
      </c>
      <c r="J16" s="103">
        <f>(G74*'Participación por Sistema'!$I$16)+(G80*'Participación por Sistema'!$I$15)</f>
        <v>399.16216328390533</v>
      </c>
      <c r="K16" s="103">
        <f>(H74*'Participación por Sistema'!$I$16)+(H80*'Participación por Sistema'!$I$15)</f>
        <v>531.20377223417699</v>
      </c>
      <c r="L16" s="154">
        <f>(I74*'Participación por Sistema'!$I$16)+(I80*'Participación por Sistema'!$I$15)</f>
        <v>175.06739692034648</v>
      </c>
      <c r="M16" s="103">
        <f>(J74*'Participación por Sistema'!$I$16)+(J80*'Participación por Sistema'!$I$15)</f>
        <v>215.05584845733108</v>
      </c>
      <c r="N16" s="103">
        <f>(K74*'Participación por Sistema'!$I$16)+(K80*'Participación por Sistema'!$I$15)</f>
        <v>295.03275153130033</v>
      </c>
      <c r="O16" s="155">
        <f>(L74*'Participación por Sistema'!$I$16)+(L80*'Participación por Sistema'!$I$15)</f>
        <v>375.00965460526959</v>
      </c>
      <c r="P16" s="103">
        <f>(M74*'Participación por Sistema'!$I$16)+(M80*'Participación por Sistema'!$I$15)</f>
        <v>150.55515234080809</v>
      </c>
      <c r="Q16" s="103">
        <f>(N74*'Participación por Sistema'!$I$16)+(N80*'Participación por Sistema'!$I$15)</f>
        <v>166.03135929825433</v>
      </c>
      <c r="R16" s="103">
        <f>(O74*'Participación por Sistema'!$I$16)+(O80*'Participación por Sistema'!$I$15)</f>
        <v>196.98377321314683</v>
      </c>
      <c r="S16" s="104">
        <f>(P74*'Participación por Sistema'!$I$16)+(P80*'Participación por Sistema'!$I$15)</f>
        <v>227.93618712803925</v>
      </c>
    </row>
    <row r="17" spans="2:19" s="3" customFormat="1">
      <c r="B17" s="324" t="s">
        <v>46</v>
      </c>
      <c r="C17" s="116">
        <f>'Select Index Min, Indust y Serv'!H1</f>
        <v>43800</v>
      </c>
      <c r="D17" s="341">
        <f>(E47*'Participación por Sistema'!$J$16)+(E55*'Participación por Sistema'!$J$15)</f>
        <v>1598.9179585460804</v>
      </c>
      <c r="E17" s="342"/>
      <c r="F17" s="342"/>
      <c r="G17" s="342"/>
      <c r="H17" s="150">
        <f>(E75*'Participación por Sistema'!$J$16)+(E79*'Participación por Sistema'!$J$15)</f>
        <v>209.26704838471193</v>
      </c>
      <c r="I17" s="144">
        <f>(F75*'Participación por Sistema'!$J$16)+(F79*'Participación por Sistema'!$J$15)</f>
        <v>279.83201310417996</v>
      </c>
      <c r="J17" s="144">
        <f>(G75*'Participación por Sistema'!$J$16)+(G79*'Participación por Sistema'!$J$15)</f>
        <v>420.96194254311621</v>
      </c>
      <c r="K17" s="144">
        <f>(H75*'Participación por Sistema'!$J$16)+(H79*'Participación por Sistema'!$J$15)</f>
        <v>562.09187198205234</v>
      </c>
      <c r="L17" s="143">
        <f>(I75*'Participación por Sistema'!$J$16)+(I79*'Participación por Sistema'!$J$15)</f>
        <v>183.94942071847581</v>
      </c>
      <c r="M17" s="144">
        <f>(J75*'Participación por Sistema'!$J$16)+(J79*'Participación por Sistema'!$J$15)</f>
        <v>229.19675777170784</v>
      </c>
      <c r="N17" s="144">
        <f>(K75*'Participación por Sistema'!$J$16)+(K79*'Participación por Sistema'!$J$15)</f>
        <v>319.69143187817201</v>
      </c>
      <c r="O17" s="145">
        <f>(L75*'Participación por Sistema'!$J$16)+(L79*'Participación por Sistema'!$J$15)</f>
        <v>410.18610598463607</v>
      </c>
      <c r="P17" s="144">
        <f>(M75*'Participación por Sistema'!$J$16)+(M79*'Participación por Sistema'!$J$15)</f>
        <v>157.8444052384873</v>
      </c>
      <c r="Q17" s="144">
        <f>(N75*'Participación por Sistema'!$J$16)+(N79*'Participación por Sistema'!$J$15)</f>
        <v>176.98672681173093</v>
      </c>
      <c r="R17" s="144">
        <f>(O75*'Participación por Sistema'!$J$16)+(O79*'Participación por Sistema'!$J$15)</f>
        <v>215.27136995821809</v>
      </c>
      <c r="S17" s="151">
        <f>(P75*'Participación por Sistema'!$J$16)+(P79*'Participación por Sistema'!$J$15)</f>
        <v>253.55601310470524</v>
      </c>
    </row>
    <row r="18" spans="2:19" s="3" customFormat="1">
      <c r="B18" s="325"/>
      <c r="C18" s="115">
        <f>D6</f>
        <v>44166</v>
      </c>
      <c r="D18" s="343">
        <f>(E48*'Participación por Sistema'!$J$16)+(E56*'Participación por Sistema'!$J$15)</f>
        <v>1598.9179585460804</v>
      </c>
      <c r="E18" s="344"/>
      <c r="F18" s="344"/>
      <c r="G18" s="344"/>
      <c r="H18" s="152">
        <f>(E76*'Participación por Sistema'!$J$16)+(E80*'Participación por Sistema'!$J$15)</f>
        <v>209.26704838471193</v>
      </c>
      <c r="I18" s="147">
        <f>(F76*'Participación por Sistema'!$J$16)+(F80*'Participación por Sistema'!$J$15)</f>
        <v>279.83201310417996</v>
      </c>
      <c r="J18" s="147">
        <f>(G76*'Participación por Sistema'!$J$16)+(G80*'Participación por Sistema'!$J$15)</f>
        <v>420.96194254311621</v>
      </c>
      <c r="K18" s="147">
        <f>(H76*'Participación por Sistema'!$J$16)+(H80*'Participación por Sistema'!$J$15)</f>
        <v>562.09187198205234</v>
      </c>
      <c r="L18" s="146">
        <f>(I76*'Participación por Sistema'!$J$16)+(I80*'Participación por Sistema'!$J$15)</f>
        <v>183.94942071847581</v>
      </c>
      <c r="M18" s="147">
        <f>(J76*'Participación por Sistema'!$J$16)+(J80*'Participación por Sistema'!$J$15)</f>
        <v>229.19675777170784</v>
      </c>
      <c r="N18" s="147">
        <f>(K76*'Participación por Sistema'!$J$16)+(K80*'Participación por Sistema'!$J$15)</f>
        <v>319.69143187817201</v>
      </c>
      <c r="O18" s="148">
        <f>(L76*'Participación por Sistema'!$J$16)+(L80*'Participación por Sistema'!$J$15)</f>
        <v>410.18610598463607</v>
      </c>
      <c r="P18" s="147">
        <f>(M76*'Participación por Sistema'!$J$16)+(M80*'Participación por Sistema'!$J$15)</f>
        <v>157.8444052384873</v>
      </c>
      <c r="Q18" s="147">
        <f>(N76*'Participación por Sistema'!$J$16)+(N80*'Participación por Sistema'!$J$15)</f>
        <v>176.98672681173093</v>
      </c>
      <c r="R18" s="147">
        <f>(O76*'Participación por Sistema'!$J$16)+(O80*'Participación por Sistema'!$J$15)</f>
        <v>215.27136995821809</v>
      </c>
      <c r="S18" s="153">
        <f>(P76*'Participación por Sistema'!$J$16)+(P80*'Participación por Sistema'!$J$15)</f>
        <v>253.55601310470524</v>
      </c>
    </row>
    <row r="19" spans="2:19" s="3" customFormat="1">
      <c r="B19" s="324" t="s">
        <v>47</v>
      </c>
      <c r="C19" s="116">
        <f>'Select Index Min, Indust y Serv'!H1</f>
        <v>43800</v>
      </c>
      <c r="D19" s="341">
        <f>(E47*'Participación por Sistema'!$K$16)+(E55*'Participación por Sistema'!$K$15)</f>
        <v>1563.3549524724431</v>
      </c>
      <c r="E19" s="342"/>
      <c r="F19" s="342"/>
      <c r="G19" s="342"/>
      <c r="H19" s="102">
        <f>(E75*'Participación por Sistema'!$K$16)+(E79*'Participación por Sistema'!$K$15)</f>
        <v>206.87542857073635</v>
      </c>
      <c r="I19" s="103">
        <f>(F75*'Participación por Sistema'!$K$16)+(F79*'Participación por Sistema'!$K$15)</f>
        <v>275.99192958552624</v>
      </c>
      <c r="J19" s="103">
        <f>(G75*'Participación por Sistema'!$K$16)+(G79*'Participación por Sistema'!$K$15)</f>
        <v>414.22493161510613</v>
      </c>
      <c r="K19" s="103">
        <f>(H75*'Participación por Sistema'!$K$16)+(H79*'Participación por Sistema'!$K$15)</f>
        <v>552.45793364468591</v>
      </c>
      <c r="L19" s="154">
        <f>(I75*'Participación por Sistema'!$K$16)+(I79*'Participación por Sistema'!$K$15)</f>
        <v>181.2364519477286</v>
      </c>
      <c r="M19" s="103">
        <f>(J75*'Participación por Sistema'!$K$16)+(J79*'Participación por Sistema'!$K$15)</f>
        <v>224.71397633951091</v>
      </c>
      <c r="N19" s="103">
        <f>(K75*'Participación por Sistema'!$K$16)+(K79*'Participación por Sistema'!$K$15)</f>
        <v>311.66902512307547</v>
      </c>
      <c r="O19" s="155">
        <f>(L75*'Participación por Sistema'!$K$16)+(L79*'Participación por Sistema'!$K$15)</f>
        <v>398.62407390663998</v>
      </c>
      <c r="P19" s="103">
        <f>(M75*'Participación por Sistema'!$K$16)+(M79*'Participación por Sistema'!$K$15)</f>
        <v>155.63561462412349</v>
      </c>
      <c r="Q19" s="103">
        <f>(N75*'Participación por Sistema'!$K$16)+(N79*'Participación por Sistema'!$K$15)</f>
        <v>173.51230169230067</v>
      </c>
      <c r="R19" s="103">
        <f>(O75*'Participación por Sistema'!$K$16)+(O79*'Participación por Sistema'!$K$15)</f>
        <v>209.26567582865499</v>
      </c>
      <c r="S19" s="104">
        <f>(P75*'Participación por Sistema'!$K$16)+(P79*'Participación por Sistema'!$K$15)</f>
        <v>245.01904996500934</v>
      </c>
    </row>
    <row r="20" spans="2:19" s="3" customFormat="1">
      <c r="B20" s="325"/>
      <c r="C20" s="115">
        <f>D6</f>
        <v>44166</v>
      </c>
      <c r="D20" s="343">
        <f>(E48*'Participación por Sistema'!$K$16)+(E56*'Participación por Sistema'!$K$15)</f>
        <v>1563.3549524724431</v>
      </c>
      <c r="E20" s="344"/>
      <c r="F20" s="344"/>
      <c r="G20" s="344"/>
      <c r="H20" s="102">
        <f>(E76*'Participación por Sistema'!$K$16)+(E80*'Participación por Sistema'!$K$15)</f>
        <v>206.87542857073635</v>
      </c>
      <c r="I20" s="103">
        <f>(F76*'Participación por Sistema'!$K$16)+(F80*'Participación por Sistema'!$K$15)</f>
        <v>275.99192958552624</v>
      </c>
      <c r="J20" s="103">
        <f>(G76*'Participación por Sistema'!$K$16)+(G80*'Participación por Sistema'!$K$15)</f>
        <v>414.22493161510613</v>
      </c>
      <c r="K20" s="103">
        <f>(H76*'Participación por Sistema'!$K$16)+(H80*'Participación por Sistema'!$K$15)</f>
        <v>552.45793364468591</v>
      </c>
      <c r="L20" s="154">
        <f>(I76*'Participación por Sistema'!$K$16)+(I80*'Participación por Sistema'!$K$15)</f>
        <v>181.2364519477286</v>
      </c>
      <c r="M20" s="103">
        <f>(J76*'Participación por Sistema'!$K$16)+(J80*'Participación por Sistema'!$K$15)</f>
        <v>224.71397633951091</v>
      </c>
      <c r="N20" s="103">
        <f>(K76*'Participación por Sistema'!$K$16)+(K80*'Participación por Sistema'!$K$15)</f>
        <v>311.66902512307547</v>
      </c>
      <c r="O20" s="155">
        <f>(L76*'Participación por Sistema'!$K$16)+(L80*'Participación por Sistema'!$K$15)</f>
        <v>398.62407390663998</v>
      </c>
      <c r="P20" s="103">
        <f>(M76*'Participación por Sistema'!$K$16)+(M80*'Participación por Sistema'!$K$15)</f>
        <v>155.63561462412349</v>
      </c>
      <c r="Q20" s="103">
        <f>(N76*'Participación por Sistema'!$K$16)+(N80*'Participación por Sistema'!$K$15)</f>
        <v>173.51230169230067</v>
      </c>
      <c r="R20" s="103">
        <f>(O76*'Participación por Sistema'!$K$16)+(O80*'Participación por Sistema'!$K$15)</f>
        <v>209.26567582865499</v>
      </c>
      <c r="S20" s="104">
        <f>(P76*'Participación por Sistema'!$K$16)+(P80*'Participación por Sistema'!$K$15)</f>
        <v>245.01904996500934</v>
      </c>
    </row>
    <row r="21" spans="2:19" s="3" customFormat="1">
      <c r="B21" s="324" t="s">
        <v>48</v>
      </c>
      <c r="C21" s="116">
        <f>'Select Index Min, Indust y Serv'!H1</f>
        <v>43800</v>
      </c>
      <c r="D21" s="341">
        <f>(E47*'Participación por Sistema'!$L$16)+(E55*'Participación por Sistema'!$L$15)</f>
        <v>1605.7121662619852</v>
      </c>
      <c r="E21" s="342"/>
      <c r="F21" s="342"/>
      <c r="G21" s="342"/>
      <c r="H21" s="150">
        <f>(E75*'Participación por Sistema'!$L$16)+(E79*'Participación por Sistema'!$L$15)</f>
        <v>209.72396031617177</v>
      </c>
      <c r="I21" s="144">
        <f>(F75*'Participación por Sistema'!$L$16)+(F79*'Participación por Sistema'!$L$15)</f>
        <v>280.56564976633769</v>
      </c>
      <c r="J21" s="144">
        <f>(G75*'Participación por Sistema'!$L$16)+(G79*'Participación por Sistema'!$L$15)</f>
        <v>422.24902866666957</v>
      </c>
      <c r="K21" s="144">
        <f>(H75*'Participación por Sistema'!$L$16)+(H79*'Participación por Sistema'!$L$15)</f>
        <v>563.93240756700141</v>
      </c>
      <c r="L21" s="143">
        <f>(I75*'Participación por Sistema'!$L$16)+(I79*'Participación por Sistema'!$L$15)</f>
        <v>184.4677254230065</v>
      </c>
      <c r="M21" s="144">
        <f>(J75*'Participación por Sistema'!$L$16)+(J79*'Participación por Sistema'!$L$15)</f>
        <v>230.0531799800072</v>
      </c>
      <c r="N21" s="144">
        <f>(K75*'Participación por Sistema'!$L$16)+(K79*'Participación por Sistema'!$L$15)</f>
        <v>321.22408909400872</v>
      </c>
      <c r="O21" s="145">
        <f>(L75*'Participación por Sistema'!$L$16)+(L79*'Participación por Sistema'!$L$15)</f>
        <v>412.39499820801012</v>
      </c>
      <c r="P21" s="144">
        <f>(M75*'Participación por Sistema'!$L$16)+(M79*'Participación por Sistema'!$L$15)</f>
        <v>158.26638818908083</v>
      </c>
      <c r="Q21" s="144">
        <f>(N75*'Participación por Sistema'!$L$16)+(N79*'Participación por Sistema'!$L$15)</f>
        <v>177.65050551215597</v>
      </c>
      <c r="R21" s="144">
        <f>(O75*'Participación por Sistema'!$L$16)+(O79*'Participación por Sistema'!$L$15)</f>
        <v>216.41874015830615</v>
      </c>
      <c r="S21" s="151">
        <f>(P75*'Participación por Sistema'!$L$16)+(P79*'Participación por Sistema'!$L$15)</f>
        <v>255.18697480445638</v>
      </c>
    </row>
    <row r="22" spans="2:19" s="3" customFormat="1">
      <c r="B22" s="325"/>
      <c r="C22" s="115">
        <f>D6</f>
        <v>44166</v>
      </c>
      <c r="D22" s="343">
        <f>(E48*'Participación por Sistema'!$L$16)+(E56*'Participación por Sistema'!$L$15)</f>
        <v>1605.7121662619852</v>
      </c>
      <c r="E22" s="344"/>
      <c r="F22" s="344"/>
      <c r="G22" s="344"/>
      <c r="H22" s="152">
        <f>(E76*'Participación por Sistema'!$L$16)+(E80*'Participación por Sistema'!$L$15)</f>
        <v>209.72396031617177</v>
      </c>
      <c r="I22" s="147">
        <f>(F76*'Participación por Sistema'!$L$16)+(F80*'Participación por Sistema'!$L$15)</f>
        <v>280.56564976633769</v>
      </c>
      <c r="J22" s="147">
        <f>(G76*'Participación por Sistema'!$L$16)+(G80*'Participación por Sistema'!$L$15)</f>
        <v>422.24902866666957</v>
      </c>
      <c r="K22" s="147">
        <f>(H76*'Participación por Sistema'!$L$16)+(H80*'Participación por Sistema'!$L$15)</f>
        <v>563.93240756700141</v>
      </c>
      <c r="L22" s="146">
        <f>(I76*'Participación por Sistema'!$L$16)+(I80*'Participación por Sistema'!$L$15)</f>
        <v>184.4677254230065</v>
      </c>
      <c r="M22" s="147">
        <f>(J76*'Participación por Sistema'!$L$16)+(J80*'Participación por Sistema'!$L$15)</f>
        <v>230.0531799800072</v>
      </c>
      <c r="N22" s="147">
        <f>(K76*'Participación por Sistema'!$L$16)+(K80*'Participación por Sistema'!$L$15)</f>
        <v>321.22408909400872</v>
      </c>
      <c r="O22" s="148">
        <f>(L76*'Participación por Sistema'!$L$16)+(L80*'Participación por Sistema'!$L$15)</f>
        <v>412.39499820801012</v>
      </c>
      <c r="P22" s="147">
        <f>(M76*'Participación por Sistema'!$L$16)+(M80*'Participación por Sistema'!$L$15)</f>
        <v>158.26638818908083</v>
      </c>
      <c r="Q22" s="147">
        <f>(N76*'Participación por Sistema'!$L$16)+(N80*'Participación por Sistema'!$L$15)</f>
        <v>177.65050551215597</v>
      </c>
      <c r="R22" s="147">
        <f>(O76*'Participación por Sistema'!$L$16)+(O80*'Participación por Sistema'!$L$15)</f>
        <v>216.41874015830615</v>
      </c>
      <c r="S22" s="153">
        <f>(P76*'Participación por Sistema'!$L$16)+(P80*'Participación por Sistema'!$L$15)</f>
        <v>255.18697480445638</v>
      </c>
    </row>
    <row r="23" spans="2:19" s="3" customFormat="1">
      <c r="B23" s="324" t="s">
        <v>49</v>
      </c>
      <c r="C23" s="116">
        <f>'Select Index Min, Indust y Serv'!H1</f>
        <v>43800</v>
      </c>
      <c r="D23" s="341">
        <f>(E49*'Participación por Sistema'!$M$16)+(E57*'Participación por Sistema'!$M$15)</f>
        <v>1177.2586627452488</v>
      </c>
      <c r="E23" s="342"/>
      <c r="F23" s="342"/>
      <c r="G23" s="342"/>
      <c r="H23" s="102">
        <f>(E77*'Participación por Sistema'!$M$16)+(E85*'Participación por Sistema'!$M$15)</f>
        <v>160.8529990210032</v>
      </c>
      <c r="I23" s="103">
        <f>(F77*'Participación por Sistema'!$M$16)+(F85*'Participación por Sistema'!$M$15)</f>
        <v>214.34803395385825</v>
      </c>
      <c r="J23" s="103">
        <f>(G77*'Participación por Sistema'!$M$16)+(G85*'Participación por Sistema'!$M$15)</f>
        <v>321.33810381956829</v>
      </c>
      <c r="K23" s="103">
        <f>(H77*'Participación por Sistema'!$M$16)+(H85*'Participación por Sistema'!$M$15)</f>
        <v>428.32817368527827</v>
      </c>
      <c r="L23" s="154">
        <f>(I77*'Participación por Sistema'!$M$16)+(I85*'Participación por Sistema'!$M$15)</f>
        <v>138.53249594622486</v>
      </c>
      <c r="M23" s="103">
        <f>(J77*'Participación por Sistema'!$M$16)+(J85*'Participación por Sistema'!$M$15)</f>
        <v>169.70702780430148</v>
      </c>
      <c r="N23" s="103">
        <f>(K77*'Participación por Sistema'!$M$16)+(K85*'Participación por Sistema'!$M$15)</f>
        <v>232.05609152045474</v>
      </c>
      <c r="O23" s="155">
        <f>(L77*'Participación por Sistema'!$M$16)+(L85*'Participación por Sistema'!$M$15)</f>
        <v>294.40515523660804</v>
      </c>
      <c r="P23" s="103">
        <f>(M77*'Participación por Sistema'!$M$16)+(M85*'Participación por Sistema'!$M$15)</f>
        <v>119.65795744943586</v>
      </c>
      <c r="Q23" s="103">
        <f>(N77*'Participación por Sistema'!$M$16)+(N85*'Participación por Sistema'!$M$15)</f>
        <v>131.9579508107235</v>
      </c>
      <c r="R23" s="103">
        <f>(O77*'Participación por Sistema'!$M$16)+(O85*'Participación por Sistema'!$M$15)</f>
        <v>156.5579375332988</v>
      </c>
      <c r="S23" s="104">
        <f>(P77*'Participación por Sistema'!$M$16)+(P85*'Participación por Sistema'!$M$15)</f>
        <v>181.15792425587406</v>
      </c>
    </row>
    <row r="24" spans="2:19" s="3" customFormat="1">
      <c r="B24" s="325"/>
      <c r="C24" s="115">
        <f>D6</f>
        <v>44166</v>
      </c>
      <c r="D24" s="343">
        <f>(E50*'Participación por Sistema'!$M$16)+(E58*'Participación por Sistema'!$M$15)</f>
        <v>1177.2586627452488</v>
      </c>
      <c r="E24" s="344"/>
      <c r="F24" s="344"/>
      <c r="G24" s="344"/>
      <c r="H24" s="102">
        <f>(E78*'Participación por Sistema'!$M$16)+(E86*'Participación por Sistema'!$M$15)</f>
        <v>160.8529990210032</v>
      </c>
      <c r="I24" s="103">
        <f>(F78*'Participación por Sistema'!$M$16)+(F86*'Participación por Sistema'!$M$15)</f>
        <v>214.34803395385825</v>
      </c>
      <c r="J24" s="103">
        <f>(G78*'Participación por Sistema'!$M$16)+(G86*'Participación por Sistema'!$M$15)</f>
        <v>321.33810381956829</v>
      </c>
      <c r="K24" s="103">
        <f>(H78*'Participación por Sistema'!$M$16)+(H86*'Participación por Sistema'!$M$15)</f>
        <v>428.32817368527827</v>
      </c>
      <c r="L24" s="154">
        <f>(I78*'Participación por Sistema'!$M$16)+(I86*'Participación por Sistema'!$M$15)</f>
        <v>138.53249594622486</v>
      </c>
      <c r="M24" s="103">
        <f>(J78*'Participación por Sistema'!$M$16)+(J86*'Participación por Sistema'!$M$15)</f>
        <v>169.70702780430148</v>
      </c>
      <c r="N24" s="103">
        <f>(K78*'Participación por Sistema'!$M$16)+(K86*'Participación por Sistema'!$M$15)</f>
        <v>232.05609152045474</v>
      </c>
      <c r="O24" s="155">
        <f>(L78*'Participación por Sistema'!$M$16)+(L86*'Participación por Sistema'!$M$15)</f>
        <v>294.40515523660804</v>
      </c>
      <c r="P24" s="103">
        <f>(M78*'Participación por Sistema'!$M$16)+(M86*'Participación por Sistema'!$M$15)</f>
        <v>119.65795744943586</v>
      </c>
      <c r="Q24" s="103">
        <f>(N78*'Participación por Sistema'!$M$16)+(N86*'Participación por Sistema'!$M$15)</f>
        <v>131.9579508107235</v>
      </c>
      <c r="R24" s="103">
        <f>(O78*'Participación por Sistema'!$M$16)+(O86*'Participación por Sistema'!$M$15)</f>
        <v>156.5579375332988</v>
      </c>
      <c r="S24" s="104">
        <f>(P78*'Participación por Sistema'!$M$16)+(P86*'Participación por Sistema'!$M$15)</f>
        <v>181.15792425587406</v>
      </c>
    </row>
    <row r="25" spans="2:19" s="3" customFormat="1">
      <c r="B25" s="324" t="s">
        <v>50</v>
      </c>
      <c r="C25" s="116">
        <f>'Select Index Min, Indust y Serv'!H1</f>
        <v>43800</v>
      </c>
      <c r="D25" s="341">
        <f>(E49*'Participación por Sistema'!$N$16)+(E57*'Participación por Sistema'!$N$15)</f>
        <v>1196.9297634291656</v>
      </c>
      <c r="E25" s="342"/>
      <c r="F25" s="342"/>
      <c r="G25" s="342"/>
      <c r="H25" s="150">
        <f>(E77*'Participación por Sistema'!$N$16)+(E85*'Participación por Sistema'!$N$15)</f>
        <v>163.14925169538219</v>
      </c>
      <c r="I25" s="144">
        <f>(F77*'Participación por Sistema'!$N$16)+(F85*'Participación por Sistema'!$N$15)</f>
        <v>217.55875231294971</v>
      </c>
      <c r="J25" s="144">
        <f>(G77*'Participación por Sistema'!$N$16)+(G85*'Participación por Sistema'!$N$15)</f>
        <v>326.37775354808485</v>
      </c>
      <c r="K25" s="144">
        <f>(H77*'Participación por Sistema'!$N$16)+(H85*'Participación por Sistema'!$N$15)</f>
        <v>435.19675478321983</v>
      </c>
      <c r="L25" s="143">
        <f>(I77*'Participación por Sistema'!$N$16)+(I85*'Participación por Sistema'!$N$15)</f>
        <v>140.57236204854448</v>
      </c>
      <c r="M25" s="144">
        <f>(J77*'Participación por Sistema'!$N$16)+(J85*'Participación por Sistema'!$N$15)</f>
        <v>172.40497301927431</v>
      </c>
      <c r="N25" s="144">
        <f>(K77*'Participación por Sistema'!$N$16)+(K85*'Participación por Sistema'!$N$15)</f>
        <v>236.070194960734</v>
      </c>
      <c r="O25" s="145">
        <f>(L77*'Participación por Sistema'!$N$16)+(L85*'Participación por Sistema'!$N$15)</f>
        <v>299.73541690219372</v>
      </c>
      <c r="P25" s="144">
        <f>(M77*'Participación por Sistema'!$N$16)+(M85*'Participación por Sistema'!$N$15)</f>
        <v>121.41596699422578</v>
      </c>
      <c r="Q25" s="144">
        <f>(N77*'Participación por Sistema'!$N$16)+(N85*'Participación por Sistema'!$N$15)</f>
        <v>134.09218291063695</v>
      </c>
      <c r="R25" s="144">
        <f>(O77*'Participación por Sistema'!$N$16)+(O85*'Participación por Sistema'!$N$15)</f>
        <v>159.44461474345931</v>
      </c>
      <c r="S25" s="151">
        <f>(P77*'Participación por Sistema'!$N$16)+(P85*'Participación por Sistema'!$N$15)</f>
        <v>184.79704657628164</v>
      </c>
    </row>
    <row r="26" spans="2:19" s="3" customFormat="1">
      <c r="B26" s="325"/>
      <c r="C26" s="115">
        <f>D6</f>
        <v>44166</v>
      </c>
      <c r="D26" s="343">
        <f>(E50*'Participación por Sistema'!$N$16)+(E58*'Participación por Sistema'!$N$15)</f>
        <v>1196.9297634291656</v>
      </c>
      <c r="E26" s="344"/>
      <c r="F26" s="344"/>
      <c r="G26" s="344"/>
      <c r="H26" s="152">
        <f>(E78*'Participación por Sistema'!$N$16)+(E86*'Participación por Sistema'!$N$15)</f>
        <v>163.14925169538219</v>
      </c>
      <c r="I26" s="147">
        <f>(F78*'Participación por Sistema'!$N$16)+(F86*'Participación por Sistema'!$N$15)</f>
        <v>217.55875231294971</v>
      </c>
      <c r="J26" s="147">
        <f>(G78*'Participación por Sistema'!$N$16)+(G86*'Participación por Sistema'!$N$15)</f>
        <v>326.37775354808485</v>
      </c>
      <c r="K26" s="147">
        <f>(H78*'Participación por Sistema'!$N$16)+(H86*'Participación por Sistema'!$N$15)</f>
        <v>435.19675478321983</v>
      </c>
      <c r="L26" s="146">
        <f>(I78*'Participación por Sistema'!$N$16)+(I86*'Participación por Sistema'!$N$15)</f>
        <v>140.57236204854448</v>
      </c>
      <c r="M26" s="147">
        <f>(J78*'Participación por Sistema'!$N$16)+(J86*'Participación por Sistema'!$N$15)</f>
        <v>172.40497301927431</v>
      </c>
      <c r="N26" s="147">
        <f>(K78*'Participación por Sistema'!$N$16)+(K86*'Participación por Sistema'!$N$15)</f>
        <v>236.070194960734</v>
      </c>
      <c r="O26" s="148">
        <f>(L78*'Participación por Sistema'!$N$16)+(L86*'Participación por Sistema'!$N$15)</f>
        <v>299.73541690219372</v>
      </c>
      <c r="P26" s="147">
        <f>(M78*'Participación por Sistema'!$N$16)+(M86*'Participación por Sistema'!$N$15)</f>
        <v>121.41596699422578</v>
      </c>
      <c r="Q26" s="147">
        <f>(N78*'Participación por Sistema'!$N$16)+(N86*'Participación por Sistema'!$N$15)</f>
        <v>134.09218291063695</v>
      </c>
      <c r="R26" s="147">
        <f>(O78*'Participación por Sistema'!$N$16)+(O86*'Participación por Sistema'!$N$15)</f>
        <v>159.44461474345931</v>
      </c>
      <c r="S26" s="153">
        <f>(P78*'Participación por Sistema'!$N$16)+(P86*'Participación por Sistema'!$N$15)</f>
        <v>184.79704657628164</v>
      </c>
    </row>
    <row r="27" spans="2:19" s="3" customFormat="1">
      <c r="B27" s="324" t="s">
        <v>51</v>
      </c>
      <c r="C27" s="116">
        <f>'Select Index Min, Indust y Serv'!H1</f>
        <v>43800</v>
      </c>
      <c r="D27" s="341">
        <f>(E49*'Participación por Sistema'!$O$16)+(E57*'Participación por Sistema'!$O$15)</f>
        <v>965.46501685218516</v>
      </c>
      <c r="E27" s="342"/>
      <c r="F27" s="342"/>
      <c r="G27" s="342"/>
      <c r="H27" s="102">
        <f>(E77*'Participación por Sistema'!$O$16)+(E85*'Participación por Sistema'!$O$15)</f>
        <v>136.12984124691701</v>
      </c>
      <c r="I27" s="103">
        <f>(F77*'Participación por Sistema'!$O$16)+(F85*'Participación por Sistema'!$O$15)</f>
        <v>179.77906101561533</v>
      </c>
      <c r="J27" s="103">
        <f>(G77*'Participación por Sistema'!$O$16)+(G85*'Participación por Sistema'!$O$15)</f>
        <v>267.07750055301199</v>
      </c>
      <c r="K27" s="103">
        <f>(H77*'Participación por Sistema'!$O$16)+(H85*'Participación por Sistema'!$O$15)</f>
        <v>354.37594009040856</v>
      </c>
      <c r="L27" s="154">
        <f>(I77*'Participación por Sistema'!$O$16)+(I85*'Participación por Sistema'!$O$15)</f>
        <v>116.56978598474454</v>
      </c>
      <c r="M27" s="103">
        <f>(J77*'Participación por Sistema'!$O$16)+(J85*'Participación por Sistema'!$O$15)</f>
        <v>140.65895049127039</v>
      </c>
      <c r="N27" s="103">
        <f>(K77*'Participación por Sistema'!$O$16)+(K85*'Participación por Sistema'!$O$15)</f>
        <v>188.83727950432208</v>
      </c>
      <c r="O27" s="155">
        <f>(L77*'Participación por Sistema'!$O$16)+(L85*'Participación por Sistema'!$O$15)</f>
        <v>237.01560851737381</v>
      </c>
      <c r="P27" s="103">
        <f>(M77*'Participación por Sistema'!$O$16)+(M85*'Participación por Sistema'!$O$15)</f>
        <v>100.72992403693411</v>
      </c>
      <c r="Q27" s="103">
        <f>(N77*'Participación por Sistema'!$O$16)+(N85*'Participación por Sistema'!$O$15)</f>
        <v>108.97922659564955</v>
      </c>
      <c r="R27" s="103">
        <f>(O77*'Participación por Sistema'!$O$16)+(O85*'Participación por Sistema'!$O$15)</f>
        <v>125.47783171308043</v>
      </c>
      <c r="S27" s="104">
        <f>(P77*'Participación por Sistema'!$O$16)+(P85*'Participación por Sistema'!$O$15)</f>
        <v>141.97643683051129</v>
      </c>
    </row>
    <row r="28" spans="2:19" s="3" customFormat="1">
      <c r="B28" s="325"/>
      <c r="C28" s="115">
        <f>D6</f>
        <v>44166</v>
      </c>
      <c r="D28" s="343">
        <f>(E50*'Participación por Sistema'!$O$16)+(E58*'Participación por Sistema'!$O$15)</f>
        <v>965.46501685218516</v>
      </c>
      <c r="E28" s="344"/>
      <c r="F28" s="344"/>
      <c r="G28" s="344"/>
      <c r="H28" s="102">
        <f>(E78*'Participación por Sistema'!$O$16)+(E86*'Participación por Sistema'!$O$15)</f>
        <v>136.12984124691701</v>
      </c>
      <c r="I28" s="103">
        <f>(F78*'Participación por Sistema'!$O$16)+(F86*'Participación por Sistema'!$O$15)</f>
        <v>179.77906101561533</v>
      </c>
      <c r="J28" s="103">
        <f>(G78*'Participación por Sistema'!$O$16)+(G86*'Participación por Sistema'!$O$15)</f>
        <v>267.07750055301199</v>
      </c>
      <c r="K28" s="103">
        <f>(H78*'Participación por Sistema'!$O$16)+(H86*'Participación por Sistema'!$O$15)</f>
        <v>354.37594009040856</v>
      </c>
      <c r="L28" s="154">
        <f>(I78*'Participación por Sistema'!$O$16)+(I86*'Participación por Sistema'!$O$15)</f>
        <v>116.56978598474454</v>
      </c>
      <c r="M28" s="103">
        <f>(J78*'Participación por Sistema'!$O$16)+(J86*'Participación por Sistema'!$O$15)</f>
        <v>140.65895049127039</v>
      </c>
      <c r="N28" s="103">
        <f>(K78*'Participación por Sistema'!$O$16)+(K86*'Participación por Sistema'!$O$15)</f>
        <v>188.83727950432208</v>
      </c>
      <c r="O28" s="155">
        <f>(L78*'Participación por Sistema'!$O$16)+(L86*'Participación por Sistema'!$O$15)</f>
        <v>237.01560851737381</v>
      </c>
      <c r="P28" s="103">
        <f>(M78*'Participación por Sistema'!$O$16)+(M86*'Participación por Sistema'!$O$15)</f>
        <v>100.72992403693411</v>
      </c>
      <c r="Q28" s="103">
        <f>(N78*'Participación por Sistema'!$O$16)+(N86*'Participación por Sistema'!$O$15)</f>
        <v>108.97922659564955</v>
      </c>
      <c r="R28" s="103">
        <f>(O78*'Participación por Sistema'!$O$16)+(O86*'Participación por Sistema'!$O$15)</f>
        <v>125.47783171308043</v>
      </c>
      <c r="S28" s="104">
        <f>(P78*'Participación por Sistema'!$O$16)+(P86*'Participación por Sistema'!$O$15)</f>
        <v>141.97643683051129</v>
      </c>
    </row>
    <row r="29" spans="2:19" s="3" customFormat="1">
      <c r="B29" s="324" t="s">
        <v>52</v>
      </c>
      <c r="C29" s="116">
        <f>'Select Index Min, Indust y Serv'!H1</f>
        <v>43800</v>
      </c>
      <c r="D29" s="341">
        <f>(E49*'Participación por Sistema'!$P$16)+(E57*'Participación por Sistema'!$P$15)</f>
        <v>1155.7611036230612</v>
      </c>
      <c r="E29" s="342"/>
      <c r="F29" s="342"/>
      <c r="G29" s="342"/>
      <c r="H29" s="150">
        <f>(E77*'Participación por Sistema'!$P$16)+(E85*'Participación por Sistema'!$P$15)</f>
        <v>158.34353966638244</v>
      </c>
      <c r="I29" s="144">
        <f>(F77*'Participación por Sistema'!$P$16)+(F85*'Participación por Sistema'!$P$15)</f>
        <v>210.83920092726029</v>
      </c>
      <c r="J29" s="144">
        <f>(G77*'Participación por Sistema'!$P$16)+(G85*'Participación por Sistema'!$P$15)</f>
        <v>315.83052344901597</v>
      </c>
      <c r="K29" s="144">
        <f>(H77*'Participación por Sistema'!$P$16)+(H85*'Participación por Sistema'!$P$15)</f>
        <v>420.82184597077151</v>
      </c>
      <c r="L29" s="143">
        <f>(I77*'Participación por Sistema'!$P$16)+(I85*'Participación por Sistema'!$P$15)</f>
        <v>136.30322861438634</v>
      </c>
      <c r="M29" s="144">
        <f>(J77*'Participación por Sistema'!$P$16)+(J85*'Participación por Sistema'!$P$15)</f>
        <v>166.75857882326804</v>
      </c>
      <c r="N29" s="144">
        <f>(K77*'Participación por Sistema'!$P$16)+(K85*'Participación por Sistema'!$P$15)</f>
        <v>227.66927924103146</v>
      </c>
      <c r="O29" s="145">
        <f>(L77*'Participación por Sistema'!$P$16)+(L85*'Participación por Sistema'!$P$15)</f>
        <v>288.57997965879491</v>
      </c>
      <c r="P29" s="144">
        <f>(M77*'Participación por Sistema'!$P$16)+(M85*'Participación por Sistema'!$P$15)</f>
        <v>117.73671700977957</v>
      </c>
      <c r="Q29" s="144">
        <f>(N77*'Participación por Sistema'!$P$16)+(N85*'Participación por Sistema'!$P$15)</f>
        <v>129.62555561405452</v>
      </c>
      <c r="R29" s="144">
        <f>(O77*'Participación por Sistema'!$P$16)+(O85*'Participación por Sistema'!$P$15)</f>
        <v>153.40323282260439</v>
      </c>
      <c r="S29" s="151">
        <f>(P77*'Participación por Sistema'!$P$16)+(P85*'Participación por Sistema'!$P$15)</f>
        <v>177.18091003115427</v>
      </c>
    </row>
    <row r="30" spans="2:19" s="3" customFormat="1" ht="15" thickBot="1">
      <c r="B30" s="340"/>
      <c r="C30" s="117">
        <f>D6</f>
        <v>44166</v>
      </c>
      <c r="D30" s="345">
        <f>(E50*'Participación por Sistema'!$P$16)+(E58*'Participación por Sistema'!$P$15)</f>
        <v>1155.7611036230612</v>
      </c>
      <c r="E30" s="306"/>
      <c r="F30" s="306"/>
      <c r="G30" s="306"/>
      <c r="H30" s="109">
        <f>(E78*'Participación por Sistema'!$P$16)+(E86*'Participación por Sistema'!$P$15)</f>
        <v>158.34353966638244</v>
      </c>
      <c r="I30" s="110">
        <f>(F78*'Participación por Sistema'!$P$16)+(F86*'Participación por Sistema'!$P$15)</f>
        <v>210.83920092726029</v>
      </c>
      <c r="J30" s="110">
        <f>(G78*'Participación por Sistema'!$P$16)+(G86*'Participación por Sistema'!$P$15)</f>
        <v>315.83052344901597</v>
      </c>
      <c r="K30" s="110">
        <f>(H78*'Participación por Sistema'!$P$16)+(H86*'Participación por Sistema'!$P$15)</f>
        <v>420.82184597077151</v>
      </c>
      <c r="L30" s="156">
        <f>(I78*'Participación por Sistema'!$P$16)+(I86*'Participación por Sistema'!$P$15)</f>
        <v>136.30322861438634</v>
      </c>
      <c r="M30" s="110">
        <f>(J78*'Participación por Sistema'!$P$16)+(J86*'Participación por Sistema'!$P$15)</f>
        <v>166.75857882326804</v>
      </c>
      <c r="N30" s="110">
        <f>(K78*'Participación por Sistema'!$P$16)+(K86*'Participación por Sistema'!$P$15)</f>
        <v>227.66927924103146</v>
      </c>
      <c r="O30" s="157">
        <f>(L78*'Participación por Sistema'!$P$16)+(L86*'Participación por Sistema'!$P$15)</f>
        <v>288.57997965879491</v>
      </c>
      <c r="P30" s="110">
        <f>(M78*'Participación por Sistema'!$P$16)+(M86*'Participación por Sistema'!$P$15)</f>
        <v>117.73671700977957</v>
      </c>
      <c r="Q30" s="110">
        <f>(N78*'Participación por Sistema'!$P$16)+(N86*'Participación por Sistema'!$P$15)</f>
        <v>129.62555561405452</v>
      </c>
      <c r="R30" s="110">
        <f>(O78*'Participación por Sistema'!$P$16)+(O86*'Participación por Sistema'!$P$15)</f>
        <v>153.40323282260439</v>
      </c>
      <c r="S30" s="111">
        <f>(P78*'Participación por Sistema'!$P$16)+(P86*'Participación por Sistema'!$P$15)</f>
        <v>177.18091003115427</v>
      </c>
    </row>
    <row r="31" spans="2:19" s="3" customFormat="1">
      <c r="D31" s="7"/>
      <c r="G31" s="186"/>
    </row>
    <row r="32" spans="2:19" s="3" customFormat="1">
      <c r="D32" s="7"/>
    </row>
    <row r="33" spans="2:10" s="3" customFormat="1" ht="15.6">
      <c r="B33" s="333" t="s">
        <v>53</v>
      </c>
      <c r="C33" s="333"/>
      <c r="D33" s="7"/>
    </row>
    <row r="34" spans="2:10" s="3" customFormat="1" ht="15" thickBot="1">
      <c r="D34" s="7"/>
    </row>
    <row r="35" spans="2:10">
      <c r="B35" s="322" t="s">
        <v>54</v>
      </c>
      <c r="C35" s="298" t="s">
        <v>34</v>
      </c>
      <c r="D35" s="298" t="s">
        <v>35</v>
      </c>
      <c r="E35" s="313" t="s">
        <v>32</v>
      </c>
      <c r="F35" s="313"/>
      <c r="G35" s="313"/>
      <c r="H35" s="314"/>
      <c r="I35" s="3"/>
      <c r="J35" s="3"/>
    </row>
    <row r="36" spans="2:10" ht="30" customHeight="1" thickBot="1">
      <c r="B36" s="323"/>
      <c r="C36" s="300"/>
      <c r="D36" s="299"/>
      <c r="E36" s="72" t="s">
        <v>36</v>
      </c>
      <c r="F36" s="73" t="s">
        <v>37</v>
      </c>
      <c r="G36" s="73" t="s">
        <v>38</v>
      </c>
      <c r="H36" s="74" t="s">
        <v>39</v>
      </c>
      <c r="I36" s="8"/>
      <c r="J36" s="8"/>
    </row>
    <row r="37" spans="2:10">
      <c r="B37" s="298" t="s">
        <v>55</v>
      </c>
      <c r="C37" s="75"/>
      <c r="D37" s="94">
        <f>'Select Index Min, Indust y Serv'!H1</f>
        <v>43800</v>
      </c>
      <c r="E37" s="271">
        <f>'Encuestas Min, Indust y Serv'!C22</f>
        <v>5797.7718019686363</v>
      </c>
      <c r="F37" s="267">
        <f>'Encuestas Min, Indust y Serv'!D22</f>
        <v>2673.0513467831415</v>
      </c>
      <c r="G37" s="267">
        <f>'Encuestas Min, Indust y Serv'!E22</f>
        <v>1224.7760971500315</v>
      </c>
      <c r="H37" s="268">
        <f>'Encuestas Min, Indust y Serv'!F22</f>
        <v>726.04348438048135</v>
      </c>
      <c r="I37" s="187"/>
      <c r="J37" s="8"/>
    </row>
    <row r="38" spans="2:10" ht="15" thickBot="1">
      <c r="B38" s="300"/>
      <c r="C38" s="76"/>
      <c r="D38" s="112">
        <f>D6</f>
        <v>44166</v>
      </c>
      <c r="E38" s="101">
        <f>'Encuestas Min, Indust y Serv'!C22*'Encuestas Min, Indust y Serv'!I19</f>
        <v>6821.1771695888938</v>
      </c>
      <c r="F38" s="269">
        <f>'Encuestas Min, Indust y Serv'!D22*'Encuestas Min, Indust y Serv'!J19</f>
        <v>3144.0719033013133</v>
      </c>
      <c r="G38" s="269">
        <f>'Encuestas Min, Indust y Serv'!E22*'Encuestas Min, Indust y Serv'!K19</f>
        <v>1430.085967945317</v>
      </c>
      <c r="H38" s="270">
        <f>'Encuestas Min, Indust y Serv'!F22*'Encuestas Min, Indust y Serv'!L19</f>
        <v>842.42401199711082</v>
      </c>
      <c r="I38" s="187"/>
      <c r="J38" s="8"/>
    </row>
    <row r="39" spans="2:10">
      <c r="B39" s="298" t="s">
        <v>56</v>
      </c>
      <c r="C39" s="75"/>
      <c r="D39" s="97">
        <f>'Select Index Min, Indust y Serv'!H1</f>
        <v>43800</v>
      </c>
      <c r="E39" s="267">
        <f>'Encuestas Min, Indust y Serv'!C36</f>
        <v>3581.1904429614997</v>
      </c>
      <c r="F39" s="267">
        <f>'Encuestas Min, Indust y Serv'!D36</f>
        <v>1556.221667291871</v>
      </c>
      <c r="G39" s="267">
        <f>'Encuestas Min, Indust y Serv'!E36</f>
        <v>860.19049379828743</v>
      </c>
      <c r="H39" s="268">
        <f>'Encuestas Min, Indust y Serv'!F36</f>
        <v>646.20648050310797</v>
      </c>
      <c r="I39" s="3"/>
      <c r="J39" s="3"/>
    </row>
    <row r="40" spans="2:10" ht="15" thickBot="1">
      <c r="B40" s="300"/>
      <c r="C40" s="76"/>
      <c r="D40" s="98">
        <f>D6</f>
        <v>44166</v>
      </c>
      <c r="E40" s="266">
        <f>'Encuestas Min, Indust y Serv'!C36*'Encuestas Min, Indust y Serv'!I33</f>
        <v>3632.1428303811836</v>
      </c>
      <c r="F40" s="266">
        <f>'Encuestas Min, Indust y Serv'!D36*'Encuestas Min, Indust y Serv'!J33</f>
        <v>1571.6266234392879</v>
      </c>
      <c r="G40" s="266">
        <f>'Encuestas Min, Indust y Serv'!E36*'Encuestas Min, Indust y Serv'!K33</f>
        <v>863.30385155756005</v>
      </c>
      <c r="H40" s="275">
        <f>'Encuestas Min, Indust y Serv'!F36*'Encuestas Min, Indust y Serv'!L33</f>
        <v>646.83866705607147</v>
      </c>
      <c r="I40" s="3"/>
      <c r="J40" s="3"/>
    </row>
    <row r="41" spans="2:10">
      <c r="B41" s="298" t="s">
        <v>57</v>
      </c>
      <c r="C41" s="75"/>
      <c r="D41" s="113">
        <f>'Select Index Min, Indust y Serv'!H1</f>
        <v>43800</v>
      </c>
      <c r="E41" s="269">
        <f>'Encuestas Min, Indust y Serv'!C50</f>
        <v>7813.6532288221779</v>
      </c>
      <c r="F41" s="269">
        <f>'Encuestas Min, Indust y Serv'!D50</f>
        <v>7739.6827696740129</v>
      </c>
      <c r="G41" s="269">
        <f>'Encuestas Min, Indust y Serv'!E50</f>
        <v>7408.402878187836</v>
      </c>
      <c r="H41" s="270">
        <f>'Encuestas Min, Indust y Serv'!F50</f>
        <v>3382.9245868644198</v>
      </c>
      <c r="I41" s="3"/>
      <c r="J41" s="3"/>
    </row>
    <row r="42" spans="2:10" ht="15" thickBot="1">
      <c r="B42" s="300"/>
      <c r="C42" s="76"/>
      <c r="D42" s="98">
        <f>D6</f>
        <v>44166</v>
      </c>
      <c r="E42" s="266">
        <f>'Encuestas Min, Indust y Serv'!C50*'Encuestas Min, Indust y Serv'!I47</f>
        <v>7948.6299131229607</v>
      </c>
      <c r="F42" s="266">
        <f>'Encuestas Min, Indust y Serv'!D50*'Encuestas Min, Indust y Serv'!J47</f>
        <v>7876.8090171909807</v>
      </c>
      <c r="G42" s="266">
        <f>'Encuestas Min, Indust y Serv'!E50*'Encuestas Min, Indust y Serv'!K47</f>
        <v>7540.3746193063989</v>
      </c>
      <c r="H42" s="275">
        <f>'Encuestas Min, Indust y Serv'!F50*'Encuestas Min, Indust y Serv'!L47</f>
        <v>3432.8952130992129</v>
      </c>
      <c r="I42" s="3"/>
      <c r="J42" s="3"/>
    </row>
    <row r="43" spans="2:10" s="3" customFormat="1">
      <c r="B43" s="298" t="s">
        <v>58</v>
      </c>
      <c r="C43" s="301" t="s">
        <v>43</v>
      </c>
      <c r="D43" s="112">
        <f>'Ingreso Tarifas AT4.3'!I1</f>
        <v>43800</v>
      </c>
      <c r="E43" s="310">
        <f>'Econométrico Comercio'!D57</f>
        <v>503.97072635236606</v>
      </c>
      <c r="F43" s="311"/>
      <c r="G43" s="311"/>
      <c r="H43" s="312"/>
    </row>
    <row r="44" spans="2:10" s="3" customFormat="1" ht="15" thickBot="1">
      <c r="B44" s="299"/>
      <c r="C44" s="302"/>
      <c r="D44" s="95">
        <f>D6</f>
        <v>44166</v>
      </c>
      <c r="E44" s="305">
        <f>'Econométrico Comercio'!D57*'Econométrico Comercio'!E22</f>
        <v>503.97072635236606</v>
      </c>
      <c r="F44" s="306"/>
      <c r="G44" s="306"/>
      <c r="H44" s="307"/>
    </row>
    <row r="45" spans="2:10" s="3" customFormat="1">
      <c r="B45" s="299"/>
      <c r="C45" s="303" t="s">
        <v>59</v>
      </c>
      <c r="D45" s="94">
        <f>'Ingreso Tarifas AT4.3'!I1</f>
        <v>43800</v>
      </c>
      <c r="E45" s="310">
        <f>'Econométrico Comercio'!D58</f>
        <v>1275.8479520697986</v>
      </c>
      <c r="F45" s="311"/>
      <c r="G45" s="311"/>
      <c r="H45" s="312"/>
    </row>
    <row r="46" spans="2:10" s="3" customFormat="1" ht="15" thickBot="1">
      <c r="B46" s="299"/>
      <c r="C46" s="304"/>
      <c r="D46" s="95">
        <f>D6</f>
        <v>44166</v>
      </c>
      <c r="E46" s="305">
        <f>'Econométrico Comercio'!D58*'Econométrico Comercio'!E23</f>
        <v>1275.8479520697986</v>
      </c>
      <c r="F46" s="306"/>
      <c r="G46" s="306"/>
      <c r="H46" s="307"/>
    </row>
    <row r="47" spans="2:10" s="3" customFormat="1" ht="20.25" customHeight="1">
      <c r="B47" s="299"/>
      <c r="C47" s="303" t="s">
        <v>60</v>
      </c>
      <c r="D47" s="94">
        <f>'Ingreso Tarifas AT4.3'!I1</f>
        <v>43800</v>
      </c>
      <c r="E47" s="310">
        <f>'Econométrico Comercio'!D59</f>
        <v>1291.0518774769223</v>
      </c>
      <c r="F47" s="311"/>
      <c r="G47" s="311"/>
      <c r="H47" s="312"/>
    </row>
    <row r="48" spans="2:10" s="3" customFormat="1" ht="22.5" customHeight="1" thickBot="1">
      <c r="B48" s="299"/>
      <c r="C48" s="304"/>
      <c r="D48" s="95">
        <f>D6</f>
        <v>44166</v>
      </c>
      <c r="E48" s="305">
        <f>'Econométrico Comercio'!D59*'Econométrico Comercio'!E24</f>
        <v>1291.0518774769223</v>
      </c>
      <c r="F48" s="306"/>
      <c r="G48" s="306"/>
      <c r="H48" s="307"/>
    </row>
    <row r="49" spans="2:16" s="3" customFormat="1" ht="24.75" customHeight="1">
      <c r="B49" s="299"/>
      <c r="C49" s="303" t="s">
        <v>61</v>
      </c>
      <c r="D49" s="96">
        <f>'Ingreso Tarifas AT4.3'!I1</f>
        <v>43800</v>
      </c>
      <c r="E49" s="310">
        <f>'Econométrico Comercio'!D60</f>
        <v>799.03545568779759</v>
      </c>
      <c r="F49" s="311"/>
      <c r="G49" s="311"/>
      <c r="H49" s="312"/>
    </row>
    <row r="50" spans="2:16" s="3" customFormat="1" ht="24.75" customHeight="1" thickBot="1">
      <c r="B50" s="300"/>
      <c r="C50" s="304"/>
      <c r="D50" s="96">
        <f>D6</f>
        <v>44166</v>
      </c>
      <c r="E50" s="305">
        <f>'Econométrico Comercio'!D60*'Econométrico Comercio'!E25</f>
        <v>799.03545568779759</v>
      </c>
      <c r="F50" s="306"/>
      <c r="G50" s="306"/>
      <c r="H50" s="307"/>
    </row>
    <row r="51" spans="2:16" s="3" customFormat="1">
      <c r="B51" s="298" t="s">
        <v>62</v>
      </c>
      <c r="C51" s="318" t="s">
        <v>43</v>
      </c>
      <c r="D51" s="97">
        <f>'Ingreso Tarifas BT1'!I1</f>
        <v>43800</v>
      </c>
      <c r="E51" s="334">
        <f>'Econométrico Residencial'!D58</f>
        <v>1734.2582910118115</v>
      </c>
      <c r="F51" s="334"/>
      <c r="G51" s="334"/>
      <c r="H51" s="335"/>
    </row>
    <row r="52" spans="2:16" s="3" customFormat="1" ht="15" thickBot="1">
      <c r="B52" s="299"/>
      <c r="C52" s="319"/>
      <c r="D52" s="113">
        <f>D6</f>
        <v>44166</v>
      </c>
      <c r="E52" s="331">
        <f>'Econométrico Residencial'!D58*'Econométrico Residencial'!F22</f>
        <v>1734.2582910118115</v>
      </c>
      <c r="F52" s="331"/>
      <c r="G52" s="331"/>
      <c r="H52" s="332"/>
    </row>
    <row r="53" spans="2:16">
      <c r="B53" s="299"/>
      <c r="C53" s="320" t="s">
        <v>59</v>
      </c>
      <c r="D53" s="97">
        <f>'Ingreso Tarifas BT1'!I1</f>
        <v>43800</v>
      </c>
      <c r="E53" s="311">
        <f>'Econométrico Residencial'!D59</f>
        <v>1627.3393197916466</v>
      </c>
      <c r="F53" s="311"/>
      <c r="G53" s="311"/>
      <c r="H53" s="312"/>
      <c r="I53" s="3"/>
      <c r="J53" s="3"/>
      <c r="K53" s="3"/>
      <c r="L53" s="3"/>
      <c r="M53" s="3"/>
      <c r="N53" s="3"/>
      <c r="O53" s="3"/>
      <c r="P53" s="3"/>
    </row>
    <row r="54" spans="2:16" s="3" customFormat="1" ht="15" customHeight="1" thickBot="1">
      <c r="B54" s="299"/>
      <c r="C54" s="321"/>
      <c r="D54" s="113">
        <f>D6</f>
        <v>44166</v>
      </c>
      <c r="E54" s="331">
        <f>'Econométrico Residencial'!D59*'Econométrico Residencial'!F23</f>
        <v>1627.3393197916466</v>
      </c>
      <c r="F54" s="331"/>
      <c r="G54" s="331"/>
      <c r="H54" s="332"/>
    </row>
    <row r="55" spans="2:16" s="3" customFormat="1">
      <c r="B55" s="299"/>
      <c r="C55" s="320" t="s">
        <v>60</v>
      </c>
      <c r="D55" s="97">
        <f>'Ingreso Tarifas BT1'!I1</f>
        <v>43800</v>
      </c>
      <c r="E55" s="311">
        <f>'Econométrico Residencial'!D60</f>
        <v>1817.9817280281077</v>
      </c>
      <c r="F55" s="311"/>
      <c r="G55" s="311"/>
      <c r="H55" s="312"/>
    </row>
    <row r="56" spans="2:16" s="3" customFormat="1" ht="15" thickBot="1">
      <c r="B56" s="299"/>
      <c r="C56" s="321"/>
      <c r="D56" s="113">
        <f>D6</f>
        <v>44166</v>
      </c>
      <c r="E56" s="331">
        <f>'Econométrico Residencial'!D60*'Econométrico Residencial'!F24</f>
        <v>1817.9817280281077</v>
      </c>
      <c r="F56" s="331"/>
      <c r="G56" s="331"/>
      <c r="H56" s="332"/>
    </row>
    <row r="57" spans="2:16" s="3" customFormat="1" ht="22.5" customHeight="1">
      <c r="B57" s="299"/>
      <c r="C57" s="320" t="s">
        <v>61</v>
      </c>
      <c r="D57" s="97">
        <f>'Ingreso Tarifas BT1'!I1</f>
        <v>43800</v>
      </c>
      <c r="E57" s="310">
        <f>'Econométrico Residencial'!D61</f>
        <v>1694.2279448120682</v>
      </c>
      <c r="F57" s="311"/>
      <c r="G57" s="311"/>
      <c r="H57" s="312"/>
    </row>
    <row r="58" spans="2:16" s="3" customFormat="1" ht="23.25" customHeight="1" thickBot="1">
      <c r="B58" s="300"/>
      <c r="C58" s="321"/>
      <c r="D58" s="98">
        <f>D6</f>
        <v>44166</v>
      </c>
      <c r="E58" s="305">
        <f>'Econométrico Residencial'!D61*'Econométrico Residencial'!F25</f>
        <v>1694.2279448120682</v>
      </c>
      <c r="F58" s="306"/>
      <c r="G58" s="306"/>
      <c r="H58" s="307"/>
    </row>
    <row r="59" spans="2:16" s="69" customFormat="1">
      <c r="B59" s="70"/>
      <c r="C59" s="68"/>
    </row>
    <row r="60" spans="2:16" s="3" customFormat="1"/>
    <row r="62" spans="2:16" ht="15" thickBot="1">
      <c r="B62" s="3"/>
      <c r="D62" s="3"/>
      <c r="E62" s="315" t="s">
        <v>33</v>
      </c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</row>
    <row r="63" spans="2:16" ht="15" thickBot="1">
      <c r="B63" s="329" t="s">
        <v>54</v>
      </c>
      <c r="C63" s="298" t="s">
        <v>34</v>
      </c>
      <c r="D63" s="301" t="s">
        <v>35</v>
      </c>
      <c r="E63" s="326" t="s">
        <v>40</v>
      </c>
      <c r="F63" s="327"/>
      <c r="G63" s="327"/>
      <c r="H63" s="328"/>
      <c r="I63" s="326" t="s">
        <v>41</v>
      </c>
      <c r="J63" s="327"/>
      <c r="K63" s="327"/>
      <c r="L63" s="328"/>
      <c r="M63" s="326" t="s">
        <v>42</v>
      </c>
      <c r="N63" s="327"/>
      <c r="O63" s="327"/>
      <c r="P63" s="328"/>
    </row>
    <row r="64" spans="2:16" ht="15" thickBot="1">
      <c r="B64" s="330"/>
      <c r="C64" s="300"/>
      <c r="D64" s="302"/>
      <c r="E64" s="43">
        <v>0.05</v>
      </c>
      <c r="F64" s="44">
        <v>0.1</v>
      </c>
      <c r="G64" s="44">
        <v>0.2</v>
      </c>
      <c r="H64" s="45">
        <v>0.3</v>
      </c>
      <c r="I64" s="43">
        <v>0.05</v>
      </c>
      <c r="J64" s="44">
        <v>0.1</v>
      </c>
      <c r="K64" s="44">
        <v>0.2</v>
      </c>
      <c r="L64" s="45">
        <v>0.3</v>
      </c>
      <c r="M64" s="43">
        <v>0.05</v>
      </c>
      <c r="N64" s="44">
        <v>0.1</v>
      </c>
      <c r="O64" s="44">
        <v>0.2</v>
      </c>
      <c r="P64" s="45">
        <v>0.3</v>
      </c>
    </row>
    <row r="65" spans="2:16">
      <c r="B65" s="298" t="s">
        <v>55</v>
      </c>
      <c r="C65" s="272"/>
      <c r="D65" s="99">
        <f>'Select Index Min, Indust y Serv'!H1</f>
        <v>43800</v>
      </c>
      <c r="E65" s="271">
        <f>'Encuestas Min, Indust y Serv'!C65</f>
        <v>364.76073703940858</v>
      </c>
      <c r="F65" s="267">
        <f>'Encuestas Min, Indust y Serv'!D65</f>
        <v>370.84771672539114</v>
      </c>
      <c r="G65" s="267">
        <f>'Encuestas Min, Indust y Serv'!E65</f>
        <v>392.09060143434124</v>
      </c>
      <c r="H65" s="267">
        <f>'Encuestas Min, Indust y Serv'!F65</f>
        <v>381.68223075757828</v>
      </c>
      <c r="I65" s="267">
        <f>'Encuestas Min, Indust y Serv'!G65</f>
        <v>340.91405191185152</v>
      </c>
      <c r="J65" s="267">
        <f>'Encuestas Min, Indust y Serv'!H65</f>
        <v>342.92958832996942</v>
      </c>
      <c r="K65" s="267">
        <f>'Encuestas Min, Indust y Serv'!I65</f>
        <v>348.24024500099318</v>
      </c>
      <c r="L65" s="267">
        <f>'Encuestas Min, Indust y Serv'!J65</f>
        <v>349.40235282529125</v>
      </c>
      <c r="M65" s="267">
        <f>'Encuestas Min, Indust y Serv'!K65</f>
        <v>321.25806078243619</v>
      </c>
      <c r="N65" s="267">
        <f>'Encuestas Min, Indust y Serv'!L65</f>
        <v>323.0591314885246</v>
      </c>
      <c r="O65" s="267">
        <f>'Encuestas Min, Indust y Serv'!M65</f>
        <v>325.15683567903159</v>
      </c>
      <c r="P65" s="268">
        <f>'Encuestas Min, Indust y Serv'!N65</f>
        <v>324.99313400262355</v>
      </c>
    </row>
    <row r="66" spans="2:16" ht="15" thickBot="1">
      <c r="B66" s="300"/>
      <c r="C66" s="273"/>
      <c r="D66" s="100">
        <f>D6</f>
        <v>44166</v>
      </c>
      <c r="E66" s="101">
        <f>'Encuestas Min, Indust y Serv'!C65*'Encuestas Min, Indust y Serv'!Q62</f>
        <v>397.08847676202174</v>
      </c>
      <c r="F66" s="269">
        <f>'Encuestas Min, Indust y Serv'!D65*'Encuestas Min, Indust y Serv'!R62</f>
        <v>404.51058041772495</v>
      </c>
      <c r="G66" s="269">
        <f>'Encuestas Min, Indust y Serv'!E65*'Encuestas Min, Indust y Serv'!S62</f>
        <v>422.66344800096078</v>
      </c>
      <c r="H66" s="269">
        <f>'Encuestas Min, Indust y Serv'!F65*'Encuestas Min, Indust y Serv'!T62</f>
        <v>415.39978371131906</v>
      </c>
      <c r="I66" s="269">
        <f>'Encuestas Min, Indust y Serv'!G65*'Encuestas Min, Indust y Serv'!U62</f>
        <v>376.77989371197208</v>
      </c>
      <c r="J66" s="269">
        <f>'Encuestas Min, Indust y Serv'!H65*'Encuestas Min, Indust y Serv'!V62</f>
        <v>379.41600974109912</v>
      </c>
      <c r="K66" s="269">
        <f>'Encuestas Min, Indust y Serv'!I65*'Encuestas Min, Indust y Serv'!W62</f>
        <v>385.27405903961863</v>
      </c>
      <c r="L66" s="269">
        <f>'Encuestas Min, Indust y Serv'!J65*'Encuestas Min, Indust y Serv'!X62</f>
        <v>387.05745473619459</v>
      </c>
      <c r="M66" s="269">
        <f>'Encuestas Min, Indust y Serv'!K65*'Encuestas Min, Indust y Serv'!Y62</f>
        <v>359.56802388933579</v>
      </c>
      <c r="N66" s="269">
        <f>'Encuestas Min, Indust y Serv'!L65*'Encuestas Min, Indust y Serv'!Z62</f>
        <v>362.03162535122868</v>
      </c>
      <c r="O66" s="269">
        <f>'Encuestas Min, Indust y Serv'!M65*'Encuestas Min, Indust y Serv'!AA62</f>
        <v>365.36179833248468</v>
      </c>
      <c r="P66" s="270">
        <f>'Encuestas Min, Indust y Serv'!N65*'Encuestas Min, Indust y Serv'!AB62</f>
        <v>365.84307530522875</v>
      </c>
    </row>
    <row r="67" spans="2:16">
      <c r="B67" s="298" t="s">
        <v>56</v>
      </c>
      <c r="C67" s="272"/>
      <c r="D67" s="99">
        <f>'Select Index Min, Indust y Serv'!H1</f>
        <v>43800</v>
      </c>
      <c r="E67" s="271">
        <f>'Encuestas Min, Indust y Serv'!C80</f>
        <v>119.82352511128201</v>
      </c>
      <c r="F67" s="267">
        <f>'Encuestas Min, Indust y Serv'!D80</f>
        <v>108.50756800972817</v>
      </c>
      <c r="G67" s="267">
        <f>'Encuestas Min, Indust y Serv'!E80</f>
        <v>113.92709645268098</v>
      </c>
      <c r="H67" s="267">
        <f>'Encuestas Min, Indust y Serv'!F80</f>
        <v>123.05672318811915</v>
      </c>
      <c r="I67" s="267">
        <f>'Encuestas Min, Indust y Serv'!G80</f>
        <v>136.08955087908907</v>
      </c>
      <c r="J67" s="267">
        <f>'Encuestas Min, Indust y Serv'!H80</f>
        <v>131.97087282589766</v>
      </c>
      <c r="K67" s="267">
        <f>'Encuestas Min, Indust y Serv'!I80</f>
        <v>130.71207164863279</v>
      </c>
      <c r="L67" s="267">
        <f>'Encuestas Min, Indust y Serv'!J80</f>
        <v>137.61453017709829</v>
      </c>
      <c r="M67" s="267">
        <f>'Encuestas Min, Indust y Serv'!K80</f>
        <v>133.72944008674131</v>
      </c>
      <c r="N67" s="267">
        <f>'Encuestas Min, Indust y Serv'!L80</f>
        <v>130.81293568490688</v>
      </c>
      <c r="O67" s="267">
        <f>'Encuestas Min, Indust y Serv'!M80</f>
        <v>118.57632887639841</v>
      </c>
      <c r="P67" s="268">
        <f>'Encuestas Min, Indust y Serv'!N80</f>
        <v>122.37811354037956</v>
      </c>
    </row>
    <row r="68" spans="2:16" ht="15" thickBot="1">
      <c r="B68" s="300"/>
      <c r="C68" s="273"/>
      <c r="D68" s="100">
        <f>D6</f>
        <v>44166</v>
      </c>
      <c r="E68" s="101">
        <f>'Encuestas Min, Indust y Serv'!C80*'Encuestas Min, Indust y Serv'!Q77</f>
        <v>98.21413232681202</v>
      </c>
      <c r="F68" s="269">
        <f>'Encuestas Min, Indust y Serv'!D80*'Encuestas Min, Indust y Serv'!R77</f>
        <v>87.456018707515796</v>
      </c>
      <c r="G68" s="269">
        <f>'Encuestas Min, Indust y Serv'!E80*'Encuestas Min, Indust y Serv'!S77</f>
        <v>94.624360528098748</v>
      </c>
      <c r="H68" s="269">
        <f>'Encuestas Min, Indust y Serv'!F80*'Encuestas Min, Indust y Serv'!T77</f>
        <v>104.37923634412374</v>
      </c>
      <c r="I68" s="269">
        <f>'Encuestas Min, Indust y Serv'!G80*'Encuestas Min, Indust y Serv'!U77</f>
        <v>102.177141994504</v>
      </c>
      <c r="J68" s="269">
        <f>'Encuestas Min, Indust y Serv'!H80*'Encuestas Min, Indust y Serv'!V77</f>
        <v>99.500154396542314</v>
      </c>
      <c r="K68" s="269">
        <f>'Encuestas Min, Indust y Serv'!I80*'Encuestas Min, Indust y Serv'!W77</f>
        <v>100.17098296048223</v>
      </c>
      <c r="L68" s="269">
        <f>'Encuestas Min, Indust y Serv'!J80*'Encuestas Min, Indust y Serv'!X77</f>
        <v>108.08806125982963</v>
      </c>
      <c r="M68" s="269">
        <f>'Encuestas Min, Indust y Serv'!K80*'Encuestas Min, Indust y Serv'!Y77</f>
        <v>101.28944821534576</v>
      </c>
      <c r="N68" s="269">
        <f>'Encuestas Min, Indust y Serv'!L80*'Encuestas Min, Indust y Serv'!Z77</f>
        <v>99.429973978904911</v>
      </c>
      <c r="O68" s="269">
        <f>'Encuestas Min, Indust y Serv'!M80*'Encuestas Min, Indust y Serv'!AA77</f>
        <v>91.974039852824347</v>
      </c>
      <c r="P68" s="270">
        <f>'Encuestas Min, Indust y Serv'!N80*'Encuestas Min, Indust y Serv'!AB77</f>
        <v>96.995241140199454</v>
      </c>
    </row>
    <row r="69" spans="2:16">
      <c r="B69" s="298" t="s">
        <v>57</v>
      </c>
      <c r="C69" s="272"/>
      <c r="D69" s="99">
        <f>'Select Index Min, Indust y Serv'!H1</f>
        <v>43800</v>
      </c>
      <c r="E69" s="271">
        <f>'Encuestas Min, Indust y Serv'!C96</f>
        <v>127.69107972487409</v>
      </c>
      <c r="F69" s="267">
        <f>'Encuestas Min, Indust y Serv'!D96</f>
        <v>144.23241244876877</v>
      </c>
      <c r="G69" s="267">
        <f>'Encuestas Min, Indust y Serv'!E96</f>
        <v>151.24907797909253</v>
      </c>
      <c r="H69" s="267">
        <f>'Encuestas Min, Indust y Serv'!F96</f>
        <v>228.40265689108008</v>
      </c>
      <c r="I69" s="267">
        <f>'Encuestas Min, Indust y Serv'!G96</f>
        <v>119.81223482641082</v>
      </c>
      <c r="J69" s="267">
        <f>'Encuestas Min, Indust y Serv'!H96</f>
        <v>137.41337746406009</v>
      </c>
      <c r="K69" s="267">
        <f>'Encuestas Min, Indust y Serv'!I96</f>
        <v>144.9598993613879</v>
      </c>
      <c r="L69" s="267">
        <f>'Encuestas Min, Indust y Serv'!J96</f>
        <v>222.29002475259145</v>
      </c>
      <c r="M69" s="267">
        <f>'Encuestas Min, Indust y Serv'!K96</f>
        <v>112.93773426556578</v>
      </c>
      <c r="N69" s="267">
        <f>'Encuestas Min, Indust y Serv'!L96</f>
        <v>129.7784700012476</v>
      </c>
      <c r="O69" s="267">
        <f>'Encuestas Min, Indust y Serv'!M96</f>
        <v>136.93990664743919</v>
      </c>
      <c r="P69" s="268">
        <f>'Encuestas Min, Indust y Serv'!N96</f>
        <v>214.49511934915125</v>
      </c>
    </row>
    <row r="70" spans="2:16" ht="15" thickBot="1">
      <c r="B70" s="300"/>
      <c r="C70" s="273"/>
      <c r="D70" s="100">
        <f>D6</f>
        <v>44166</v>
      </c>
      <c r="E70" s="101">
        <f>'Encuestas Min, Indust y Serv'!C96*'Encuestas Min, Indust y Serv'!Q93</f>
        <v>105.66176871095341</v>
      </c>
      <c r="F70" s="269">
        <f>'Encuestas Min, Indust y Serv'!D96*'Encuestas Min, Indust y Serv'!R93</f>
        <v>111.11841665463292</v>
      </c>
      <c r="G70" s="269">
        <f>'Encuestas Min, Indust y Serv'!E96*'Encuestas Min, Indust y Serv'!S93</f>
        <v>113.20481506496171</v>
      </c>
      <c r="H70" s="269">
        <f>'Encuestas Min, Indust y Serv'!F96*'Encuestas Min, Indust y Serv'!T93</f>
        <v>193.2800574596609</v>
      </c>
      <c r="I70" s="269">
        <f>'Encuestas Min, Indust y Serv'!G96*'Encuestas Min, Indust y Serv'!U93</f>
        <v>99.969287007563608</v>
      </c>
      <c r="J70" s="269">
        <f>'Encuestas Min, Indust y Serv'!H96*'Encuestas Min, Indust y Serv'!V93</f>
        <v>106.02484661140258</v>
      </c>
      <c r="K70" s="269">
        <f>'Encuestas Min, Indust y Serv'!I96*'Encuestas Min, Indust y Serv'!W93</f>
        <v>108.41067339387887</v>
      </c>
      <c r="L70" s="269">
        <f>'Encuestas Min, Indust y Serv'!J96*'Encuestas Min, Indust y Serv'!X93</f>
        <v>188.5856843736872</v>
      </c>
      <c r="M70" s="269">
        <f>'Encuestas Min, Indust y Serv'!K96*'Encuestas Min, Indust y Serv'!Y93</f>
        <v>94.946385331680418</v>
      </c>
      <c r="N70" s="269">
        <f>'Encuestas Min, Indust y Serv'!L96*'Encuestas Min, Indust y Serv'!Z93</f>
        <v>100.23187846487626</v>
      </c>
      <c r="O70" s="269">
        <f>'Encuestas Min, Indust y Serv'!M96*'Encuestas Min, Indust y Serv'!AA93</f>
        <v>102.22991324410165</v>
      </c>
      <c r="P70" s="270">
        <f>'Encuestas Min, Indust y Serv'!N96*'Encuestas Min, Indust y Serv'!AB93</f>
        <v>182.4773472825128</v>
      </c>
    </row>
    <row r="71" spans="2:16" s="3" customFormat="1">
      <c r="B71" s="298" t="s">
        <v>58</v>
      </c>
      <c r="C71" s="301" t="s">
        <v>43</v>
      </c>
      <c r="D71" s="94">
        <f>'Ingreso Tarifas AT4.3'!I1</f>
        <v>43800</v>
      </c>
      <c r="E71" s="271">
        <f>'Econométrico Comercio'!E57</f>
        <v>140.00283096785009</v>
      </c>
      <c r="F71" s="267">
        <f>'Econométrico Comercio'!F57</f>
        <v>159.15903598808777</v>
      </c>
      <c r="G71" s="267">
        <f>'Econométrico Comercio'!G57</f>
        <v>197.47144602856312</v>
      </c>
      <c r="H71" s="267">
        <f>'Econométrico Comercio'!H57</f>
        <v>235.78385606903848</v>
      </c>
      <c r="I71" s="267">
        <f>'Econométrico Comercio'!I57</f>
        <v>131.75721762318892</v>
      </c>
      <c r="J71" s="267">
        <f>'Econométrico Comercio'!J57</f>
        <v>142.66780929876546</v>
      </c>
      <c r="K71" s="267">
        <f>'Econométrico Comercio'!K57</f>
        <v>164.48899264991852</v>
      </c>
      <c r="L71" s="267">
        <f>'Econométrico Comercio'!L57</f>
        <v>186.3101760010716</v>
      </c>
      <c r="M71" s="267">
        <f>'Econométrico Comercio'!M57</f>
        <v>126.00394369468202</v>
      </c>
      <c r="N71" s="267">
        <f>'Econométrico Comercio'!N57</f>
        <v>131.16126144175166</v>
      </c>
      <c r="O71" s="267">
        <f>'Econométrico Comercio'!O57</f>
        <v>141.47589693589094</v>
      </c>
      <c r="P71" s="268">
        <f>'Econométrico Comercio'!P57</f>
        <v>151.79053243003023</v>
      </c>
    </row>
    <row r="72" spans="2:16" s="3" customFormat="1" ht="15" thickBot="1">
      <c r="B72" s="299"/>
      <c r="C72" s="302"/>
      <c r="D72" s="95">
        <f>D6</f>
        <v>44166</v>
      </c>
      <c r="E72" s="101">
        <f>'Econométrico Comercio'!E57*'Econométrico Comercio'!$E$22</f>
        <v>140.00283096785009</v>
      </c>
      <c r="F72" s="269">
        <f>'Econométrico Comercio'!F57*'Econométrico Comercio'!$E$22</f>
        <v>159.15903598808777</v>
      </c>
      <c r="G72" s="269">
        <f>'Econométrico Comercio'!G57*'Econométrico Comercio'!$E$22</f>
        <v>197.47144602856312</v>
      </c>
      <c r="H72" s="269">
        <f>'Econométrico Comercio'!H57*'Econométrico Comercio'!$E$22</f>
        <v>235.78385606903848</v>
      </c>
      <c r="I72" s="269">
        <f>'Econométrico Comercio'!I57*'Econométrico Comercio'!$E$22</f>
        <v>131.75721762318892</v>
      </c>
      <c r="J72" s="269">
        <f>'Econométrico Comercio'!J57*'Econométrico Comercio'!$E$22</f>
        <v>142.66780929876546</v>
      </c>
      <c r="K72" s="269">
        <f>'Econométrico Comercio'!K57*'Econométrico Comercio'!$E$22</f>
        <v>164.48899264991852</v>
      </c>
      <c r="L72" s="269">
        <f>'Econométrico Comercio'!L57*'Econométrico Comercio'!$E$22</f>
        <v>186.3101760010716</v>
      </c>
      <c r="M72" s="269">
        <f>'Econométrico Comercio'!M57*'Econométrico Comercio'!$E$22</f>
        <v>126.00394369468202</v>
      </c>
      <c r="N72" s="269">
        <f>'Econométrico Comercio'!N57*'Econométrico Comercio'!$E$22</f>
        <v>131.16126144175166</v>
      </c>
      <c r="O72" s="269">
        <f>'Econométrico Comercio'!O57*'Econométrico Comercio'!$E$22</f>
        <v>141.47589693589094</v>
      </c>
      <c r="P72" s="270">
        <f>'Econométrico Comercio'!P57*'Econométrico Comercio'!$E$22</f>
        <v>151.79053243003023</v>
      </c>
    </row>
    <row r="73" spans="2:16" s="3" customFormat="1">
      <c r="B73" s="299"/>
      <c r="C73" s="303" t="s">
        <v>59</v>
      </c>
      <c r="D73" s="94">
        <f>'Ingreso Tarifas AT4.3'!I1</f>
        <v>43800</v>
      </c>
      <c r="E73" s="271">
        <f>'Econométrico Comercio'!E58</f>
        <v>186.34239760348996</v>
      </c>
      <c r="F73" s="267">
        <f>'Econométrico Comercio'!F58</f>
        <v>243.68479520697989</v>
      </c>
      <c r="G73" s="267">
        <f>'Econométrico Comercio'!G58</f>
        <v>358.36959041395977</v>
      </c>
      <c r="H73" s="267">
        <f>'Econométrico Comercio'!H58</f>
        <v>473.05438562093963</v>
      </c>
      <c r="I73" s="267">
        <f>'Econométrico Comercio'!I58</f>
        <v>158.57378867819196</v>
      </c>
      <c r="J73" s="267">
        <f>'Econométrico Comercio'!J58</f>
        <v>188.14757735638386</v>
      </c>
      <c r="K73" s="267">
        <f>'Econométrico Comercio'!K58</f>
        <v>247.29515471276773</v>
      </c>
      <c r="L73" s="267">
        <f>'Econométrico Comercio'!L58</f>
        <v>306.44273206915165</v>
      </c>
      <c r="M73" s="267">
        <f>'Econométrico Comercio'!M58</f>
        <v>137.08942609317293</v>
      </c>
      <c r="N73" s="267">
        <f>'Econométrico Comercio'!N58</f>
        <v>145.17885218634586</v>
      </c>
      <c r="O73" s="267">
        <f>'Econométrico Comercio'!O58</f>
        <v>161.35770437269176</v>
      </c>
      <c r="P73" s="268">
        <f>'Econométrico Comercio'!P58</f>
        <v>177.53655655903759</v>
      </c>
    </row>
    <row r="74" spans="2:16" s="3" customFormat="1" ht="15" thickBot="1">
      <c r="B74" s="299"/>
      <c r="C74" s="304"/>
      <c r="D74" s="95">
        <f>D6</f>
        <v>44166</v>
      </c>
      <c r="E74" s="274">
        <f>'Econométrico Comercio'!E58*'Econométrico Comercio'!$E$23</f>
        <v>186.34239760348996</v>
      </c>
      <c r="F74" s="266">
        <f>'Econométrico Comercio'!F58*'Econométrico Comercio'!$E$23</f>
        <v>243.68479520697989</v>
      </c>
      <c r="G74" s="266">
        <f>'Econométrico Comercio'!G58*'Econométrico Comercio'!$E$23</f>
        <v>358.36959041395977</v>
      </c>
      <c r="H74" s="266">
        <f>'Econométrico Comercio'!H58*'Econométrico Comercio'!$E$23</f>
        <v>473.05438562093963</v>
      </c>
      <c r="I74" s="266">
        <f>'Econométrico Comercio'!I58*'Econométrico Comercio'!$E$23</f>
        <v>158.57378867819196</v>
      </c>
      <c r="J74" s="266">
        <f>'Econométrico Comercio'!J58*'Econométrico Comercio'!$E$23</f>
        <v>188.14757735638386</v>
      </c>
      <c r="K74" s="266">
        <f>'Econométrico Comercio'!K58*'Econométrico Comercio'!$E$23</f>
        <v>247.29515471276773</v>
      </c>
      <c r="L74" s="266">
        <f>'Econométrico Comercio'!L58*'Econométrico Comercio'!$E$23</f>
        <v>306.44273206915165</v>
      </c>
      <c r="M74" s="266">
        <f>'Econométrico Comercio'!M58*'Econométrico Comercio'!$E$23</f>
        <v>137.08942609317293</v>
      </c>
      <c r="N74" s="266">
        <f>'Econométrico Comercio'!N58*'Econométrico Comercio'!$E$23</f>
        <v>145.17885218634586</v>
      </c>
      <c r="O74" s="266">
        <f>'Econométrico Comercio'!O58*'Econométrico Comercio'!$E$23</f>
        <v>161.35770437269176</v>
      </c>
      <c r="P74" s="275">
        <f>'Econométrico Comercio'!P58*'Econométrico Comercio'!$E$23</f>
        <v>177.53655655903759</v>
      </c>
    </row>
    <row r="75" spans="2:16">
      <c r="B75" s="299"/>
      <c r="C75" s="303" t="s">
        <v>60</v>
      </c>
      <c r="D75" s="94">
        <f>'Ingreso Tarifas AT4.3'!I1</f>
        <v>43800</v>
      </c>
      <c r="E75" s="102">
        <f>'Econométrico Comercio'!E59</f>
        <v>188.5629881595604</v>
      </c>
      <c r="F75" s="103">
        <f>'Econométrico Comercio'!F59</f>
        <v>246.58871917626365</v>
      </c>
      <c r="G75" s="103">
        <f>'Econométrico Comercio'!G59</f>
        <v>362.64018120967017</v>
      </c>
      <c r="H75" s="103">
        <f>'Econométrico Comercio'!H59</f>
        <v>478.69164324307667</v>
      </c>
      <c r="I75" s="103">
        <f>'Econométrico Comercio'!I59</f>
        <v>160.46346844032735</v>
      </c>
      <c r="J75" s="103">
        <f>'Econométrico Comercio'!J59</f>
        <v>190.38967973779754</v>
      </c>
      <c r="K75" s="103">
        <f>'Econométrico Comercio'!K59</f>
        <v>250.24210233273797</v>
      </c>
      <c r="L75" s="103">
        <f>'Econométrico Comercio'!L59</f>
        <v>310.09452492767844</v>
      </c>
      <c r="M75" s="103">
        <f>'Econométrico Comercio'!M59</f>
        <v>138.72308267822652</v>
      </c>
      <c r="N75" s="103">
        <f>'Econométrico Comercio'!N59</f>
        <v>146.90890821359596</v>
      </c>
      <c r="O75" s="103">
        <f>'Econométrico Comercio'!O59</f>
        <v>163.28055928433477</v>
      </c>
      <c r="P75" s="104">
        <f>'Econométrico Comercio'!P59</f>
        <v>179.65221035507358</v>
      </c>
    </row>
    <row r="76" spans="2:16" s="3" customFormat="1" ht="15" thickBot="1">
      <c r="B76" s="299"/>
      <c r="C76" s="304"/>
      <c r="D76" s="95">
        <f>D6</f>
        <v>44166</v>
      </c>
      <c r="E76" s="102">
        <f>'Econométrico Comercio'!E59*'Econométrico Comercio'!$E$24</f>
        <v>188.5629881595604</v>
      </c>
      <c r="F76" s="103">
        <f>'Econométrico Comercio'!F59*'Econométrico Comercio'!$E$24</f>
        <v>246.58871917626365</v>
      </c>
      <c r="G76" s="103">
        <f>'Econométrico Comercio'!G59*'Econométrico Comercio'!$E$24</f>
        <v>362.64018120967017</v>
      </c>
      <c r="H76" s="103">
        <f>'Econométrico Comercio'!H59*'Econométrico Comercio'!$E$24</f>
        <v>478.69164324307667</v>
      </c>
      <c r="I76" s="103">
        <f>'Econométrico Comercio'!I59*'Econométrico Comercio'!$E$24</f>
        <v>160.46346844032735</v>
      </c>
      <c r="J76" s="103">
        <f>'Econométrico Comercio'!J59*'Econométrico Comercio'!$E$24</f>
        <v>190.38967973779754</v>
      </c>
      <c r="K76" s="103">
        <f>'Econométrico Comercio'!K59*'Econométrico Comercio'!$E$24</f>
        <v>250.24210233273797</v>
      </c>
      <c r="L76" s="103">
        <f>'Econométrico Comercio'!L59*'Econométrico Comercio'!$E$24</f>
        <v>310.09452492767844</v>
      </c>
      <c r="M76" s="103">
        <f>'Econométrico Comercio'!M59*'Econométrico Comercio'!$E$24</f>
        <v>138.72308267822652</v>
      </c>
      <c r="N76" s="103">
        <f>'Econométrico Comercio'!N59*'Econométrico Comercio'!$E$24</f>
        <v>146.90890821359596</v>
      </c>
      <c r="O76" s="103">
        <f>'Econométrico Comercio'!O59*'Econométrico Comercio'!$E$24</f>
        <v>163.28055928433477</v>
      </c>
      <c r="P76" s="104">
        <f>'Econométrico Comercio'!P59*'Econométrico Comercio'!$E$24</f>
        <v>179.65221035507358</v>
      </c>
    </row>
    <row r="77" spans="2:16" s="3" customFormat="1" ht="26.25" customHeight="1">
      <c r="B77" s="299"/>
      <c r="C77" s="303" t="s">
        <v>61</v>
      </c>
      <c r="D77" s="105">
        <f>'Ingreso Tarifas AT4.3'!I1</f>
        <v>43800</v>
      </c>
      <c r="E77" s="106">
        <f>'Econométrico Comercio'!E60</f>
        <v>116.70213707010417</v>
      </c>
      <c r="F77" s="107">
        <f>'Econométrico Comercio'!F60</f>
        <v>152.61441699735121</v>
      </c>
      <c r="G77" s="107">
        <f>'Econométrico Comercio'!G60</f>
        <v>224.43897685184527</v>
      </c>
      <c r="H77" s="107">
        <f>'Econométrico Comercio'!H60</f>
        <v>296.26353670633927</v>
      </c>
      <c r="I77" s="107">
        <f>'Econométrico Comercio'!I60</f>
        <v>99.31126925513756</v>
      </c>
      <c r="J77" s="107">
        <f>'Econométrico Comercio'!J60</f>
        <v>117.83268136741795</v>
      </c>
      <c r="K77" s="107">
        <f>'Econométrico Comercio'!K60</f>
        <v>154.87550559197877</v>
      </c>
      <c r="L77" s="107">
        <f>'Econométrico Comercio'!L60</f>
        <v>191.9183298165396</v>
      </c>
      <c r="M77" s="107">
        <f>'Econométrico Comercio'!M60</f>
        <v>85.856086433052042</v>
      </c>
      <c r="N77" s="107">
        <f>'Econométrico Comercio'!N60</f>
        <v>90.922315723246953</v>
      </c>
      <c r="O77" s="107">
        <f>'Econométrico Comercio'!O60</f>
        <v>101.05477430363676</v>
      </c>
      <c r="P77" s="108">
        <f>'Econométrico Comercio'!P60</f>
        <v>111.18723288402656</v>
      </c>
    </row>
    <row r="78" spans="2:16" ht="22.5" customHeight="1" thickBot="1">
      <c r="B78" s="300"/>
      <c r="C78" s="304"/>
      <c r="D78" s="105">
        <f>D6</f>
        <v>44166</v>
      </c>
      <c r="E78" s="109">
        <f>'Econométrico Comercio'!E60*'Econométrico Comercio'!$E$25</f>
        <v>116.70213707010417</v>
      </c>
      <c r="F78" s="110">
        <f>'Econométrico Comercio'!F60*'Econométrico Comercio'!$E$25</f>
        <v>152.61441699735121</v>
      </c>
      <c r="G78" s="110">
        <f>'Econométrico Comercio'!G60*'Econométrico Comercio'!$E$25</f>
        <v>224.43897685184527</v>
      </c>
      <c r="H78" s="110">
        <f>'Econométrico Comercio'!H60*'Econométrico Comercio'!$E$25</f>
        <v>296.26353670633927</v>
      </c>
      <c r="I78" s="110">
        <f>'Econométrico Comercio'!I60*'Econométrico Comercio'!$E$25</f>
        <v>99.31126925513756</v>
      </c>
      <c r="J78" s="110">
        <f>'Econométrico Comercio'!J60*'Econométrico Comercio'!$E$25</f>
        <v>117.83268136741795</v>
      </c>
      <c r="K78" s="110">
        <f>'Econométrico Comercio'!K60*'Econométrico Comercio'!$E$25</f>
        <v>154.87550559197877</v>
      </c>
      <c r="L78" s="110">
        <f>'Econométrico Comercio'!L60*'Econométrico Comercio'!$E$25</f>
        <v>191.9183298165396</v>
      </c>
      <c r="M78" s="110">
        <f>'Econométrico Comercio'!M60*'Econométrico Comercio'!$E$25</f>
        <v>85.856086433052042</v>
      </c>
      <c r="N78" s="110">
        <f>'Econométrico Comercio'!N60*'Econométrico Comercio'!$E$25</f>
        <v>90.922315723246953</v>
      </c>
      <c r="O78" s="110">
        <f>'Econométrico Comercio'!O60*'Econométrico Comercio'!$E$25</f>
        <v>101.05477430363676</v>
      </c>
      <c r="P78" s="111">
        <f>'Econométrico Comercio'!P60*'Econométrico Comercio'!$E$25</f>
        <v>111.18723288402656</v>
      </c>
    </row>
    <row r="79" spans="2:16">
      <c r="B79" s="298" t="s">
        <v>62</v>
      </c>
      <c r="C79" s="308" t="s">
        <v>43</v>
      </c>
      <c r="D79" s="94">
        <f>'Ingreso Tarifas BT1'!I1</f>
        <v>43800</v>
      </c>
      <c r="E79" s="102">
        <f>'Econométrico Residencial'!E58</f>
        <v>223.99913403946701</v>
      </c>
      <c r="F79" s="103">
        <f>'Econométrico Residencial'!F58</f>
        <v>303.48645809064294</v>
      </c>
      <c r="G79" s="103">
        <f>'Econométrico Residencial'!G58</f>
        <v>462.46110619299498</v>
      </c>
      <c r="H79" s="103">
        <f>'Econométrico Residencial'!H58</f>
        <v>621.4357542953469</v>
      </c>
      <c r="I79" s="103">
        <f>'Econométrico Residencial'!I58</f>
        <v>200.66097665883439</v>
      </c>
      <c r="J79" s="103">
        <f>'Econométrico Residencial'!J58</f>
        <v>256.81014332937792</v>
      </c>
      <c r="K79" s="103">
        <f>'Econométrico Residencial'!K58</f>
        <v>369.10847667046505</v>
      </c>
      <c r="L79" s="103">
        <f>'Econométrico Residencial'!L58</f>
        <v>481.40681001155201</v>
      </c>
      <c r="M79" s="103">
        <f>'Econométrico Residencial'!M58</f>
        <v>171.45028537632393</v>
      </c>
      <c r="N79" s="103">
        <f>'Econométrico Residencial'!N58</f>
        <v>198.38876076435704</v>
      </c>
      <c r="O79" s="103">
        <f>'Econométrico Residencial'!O58</f>
        <v>252.26571154042327</v>
      </c>
      <c r="P79" s="104">
        <f>'Econométrico Residencial'!P58</f>
        <v>306.14266231648946</v>
      </c>
    </row>
    <row r="80" spans="2:16" ht="15" thickBot="1">
      <c r="B80" s="299"/>
      <c r="C80" s="309"/>
      <c r="D80" s="95">
        <f>D6</f>
        <v>44166</v>
      </c>
      <c r="E80" s="102">
        <f>'Econométrico Residencial'!E58*'Econométrico Residencial'!$F$22</f>
        <v>223.99913403946701</v>
      </c>
      <c r="F80" s="103">
        <f>'Econométrico Residencial'!F58*'Econométrico Residencial'!$F$22</f>
        <v>303.48645809064294</v>
      </c>
      <c r="G80" s="103">
        <f>'Econométrico Residencial'!G58*'Econométrico Residencial'!$F$22</f>
        <v>462.46110619299498</v>
      </c>
      <c r="H80" s="103">
        <f>'Econométrico Residencial'!H58*'Econométrico Residencial'!$F$22</f>
        <v>621.4357542953469</v>
      </c>
      <c r="I80" s="103">
        <f>'Econométrico Residencial'!I58*'Econométrico Residencial'!$F$22</f>
        <v>200.66097665883439</v>
      </c>
      <c r="J80" s="103">
        <f>'Econométrico Residencial'!J58*'Econométrico Residencial'!$F$22</f>
        <v>256.81014332937792</v>
      </c>
      <c r="K80" s="103">
        <f>'Econométrico Residencial'!K58*'Econométrico Residencial'!$F$22</f>
        <v>369.10847667046505</v>
      </c>
      <c r="L80" s="103">
        <f>'Econométrico Residencial'!L58*'Econométrico Residencial'!$F$22</f>
        <v>481.40681001155201</v>
      </c>
      <c r="M80" s="103">
        <f>'Econométrico Residencial'!M58*'Econométrico Residencial'!$F$22</f>
        <v>171.45028537632393</v>
      </c>
      <c r="N80" s="103">
        <f>'Econométrico Residencial'!N58*'Econométrico Residencial'!$F$22</f>
        <v>198.38876076435704</v>
      </c>
      <c r="O80" s="103">
        <f>'Econométrico Residencial'!O58*'Econométrico Residencial'!$F$22</f>
        <v>252.26571154042327</v>
      </c>
      <c r="P80" s="104">
        <f>'Econométrico Residencial'!P58*'Econométrico Residencial'!$F$22</f>
        <v>306.14266231648946</v>
      </c>
    </row>
    <row r="81" spans="2:16">
      <c r="B81" s="299"/>
      <c r="C81" s="296" t="s">
        <v>59</v>
      </c>
      <c r="D81" s="94">
        <f>'Ingreso Tarifas BT1'!I1</f>
        <v>43800</v>
      </c>
      <c r="E81" s="106">
        <f>'Econométrico Residencial'!E59</f>
        <v>212.46696598958232</v>
      </c>
      <c r="F81" s="107">
        <f>'Econométrico Residencial'!F59</f>
        <v>286.93393197916464</v>
      </c>
      <c r="G81" s="107">
        <f>'Econométrico Residencial'!G59</f>
        <v>435.86786395832934</v>
      </c>
      <c r="H81" s="107">
        <f>'Econométrico Residencial'!H59</f>
        <v>584.80179593749392</v>
      </c>
      <c r="I81" s="107">
        <f>'Econométrico Residencial'!I59</f>
        <v>184.55569613042394</v>
      </c>
      <c r="J81" s="107">
        <f>'Econométrico Residencial'!J59</f>
        <v>231.11139226084794</v>
      </c>
      <c r="K81" s="107">
        <f>'Econométrico Residencial'!K59</f>
        <v>324.22278452169587</v>
      </c>
      <c r="L81" s="107">
        <f>'Econométrico Residencial'!L59</f>
        <v>417.33417678254375</v>
      </c>
      <c r="M81" s="107">
        <f>'Econométrico Residencial'!M59</f>
        <v>159.31140224236319</v>
      </c>
      <c r="N81" s="107">
        <f>'Econométrico Residencial'!N59</f>
        <v>180.62280448472634</v>
      </c>
      <c r="O81" s="107">
        <f>'Econométrico Residencial'!O59</f>
        <v>223.24560896945272</v>
      </c>
      <c r="P81" s="108">
        <f>'Econométrico Residencial'!P59</f>
        <v>265.86841345417906</v>
      </c>
    </row>
    <row r="82" spans="2:16" ht="15" thickBot="1">
      <c r="B82" s="299"/>
      <c r="C82" s="297"/>
      <c r="D82" s="95">
        <f>D6</f>
        <v>44166</v>
      </c>
      <c r="E82" s="109">
        <f>'Econométrico Residencial'!E59*'Econométrico Residencial'!$F$23</f>
        <v>212.46696598958232</v>
      </c>
      <c r="F82" s="110">
        <f>'Econométrico Residencial'!F59*'Econométrico Residencial'!$F$23</f>
        <v>286.93393197916464</v>
      </c>
      <c r="G82" s="110">
        <f>'Econométrico Residencial'!G59*'Econométrico Residencial'!$F$23</f>
        <v>435.86786395832934</v>
      </c>
      <c r="H82" s="110">
        <f>'Econométrico Residencial'!H59*'Econométrico Residencial'!$F$23</f>
        <v>584.80179593749392</v>
      </c>
      <c r="I82" s="110">
        <f>'Econométrico Residencial'!I59*'Econométrico Residencial'!$F$23</f>
        <v>184.55569613042394</v>
      </c>
      <c r="J82" s="110">
        <f>'Econométrico Residencial'!J59*'Econométrico Residencial'!$F$23</f>
        <v>231.11139226084794</v>
      </c>
      <c r="K82" s="110">
        <f>'Econométrico Residencial'!K59*'Econométrico Residencial'!$F$23</f>
        <v>324.22278452169587</v>
      </c>
      <c r="L82" s="110">
        <f>'Econométrico Residencial'!L59*'Econométrico Residencial'!$F$23</f>
        <v>417.33417678254375</v>
      </c>
      <c r="M82" s="110">
        <f>'Econométrico Residencial'!M59*'Econométrico Residencial'!$F$23</f>
        <v>159.31140224236319</v>
      </c>
      <c r="N82" s="110">
        <f>'Econométrico Residencial'!N59*'Econométrico Residencial'!$F$23</f>
        <v>180.62280448472634</v>
      </c>
      <c r="O82" s="110">
        <f>'Econométrico Residencial'!O59*'Econométrico Residencial'!$F$23</f>
        <v>223.24560896945272</v>
      </c>
      <c r="P82" s="111">
        <f>'Econométrico Residencial'!P59*'Econométrico Residencial'!$F$23</f>
        <v>265.86841345417906</v>
      </c>
    </row>
    <row r="83" spans="2:16">
      <c r="B83" s="299"/>
      <c r="C83" s="296" t="s">
        <v>60</v>
      </c>
      <c r="D83" s="94">
        <f>'Ingreso Tarifas BT1'!I1</f>
        <v>43800</v>
      </c>
      <c r="E83" s="106">
        <f>'Econométrico Residencial'!E60</f>
        <v>237.3574197347387</v>
      </c>
      <c r="F83" s="107">
        <f>'Econométrico Residencial'!F60</f>
        <v>320.54817280281071</v>
      </c>
      <c r="G83" s="107">
        <f>'Econométrico Residencial'!G60</f>
        <v>486.92967893895479</v>
      </c>
      <c r="H83" s="107">
        <f>'Econométrico Residencial'!H60</f>
        <v>653.31118507509882</v>
      </c>
      <c r="I83" s="107">
        <f>'Econométrico Residencial'!I60</f>
        <v>206.17635135343255</v>
      </c>
      <c r="J83" s="107">
        <f>'Econométrico Residencial'!J60</f>
        <v>258.18603604019847</v>
      </c>
      <c r="K83" s="107">
        <f>'Econométrico Residencial'!K60</f>
        <v>362.20540541373026</v>
      </c>
      <c r="L83" s="107">
        <f>'Econométrico Residencial'!L60</f>
        <v>466.22477478726205</v>
      </c>
      <c r="M83" s="107">
        <f>'Econométrico Residencial'!M60</f>
        <v>177.97469453404099</v>
      </c>
      <c r="N83" s="107">
        <f>'Econométrico Residencial'!N60</f>
        <v>201.7827224014153</v>
      </c>
      <c r="O83" s="107">
        <f>'Econométrico Residencial'!O60</f>
        <v>249.39877813616394</v>
      </c>
      <c r="P83" s="108">
        <f>'Econométrico Residencial'!P60</f>
        <v>297.01483387091258</v>
      </c>
    </row>
    <row r="84" spans="2:16" ht="15" thickBot="1">
      <c r="B84" s="299"/>
      <c r="C84" s="297"/>
      <c r="D84" s="95">
        <f>D6</f>
        <v>44166</v>
      </c>
      <c r="E84" s="109">
        <f>'Econométrico Residencial'!E60*'Econométrico Residencial'!$F$24</f>
        <v>237.3574197347387</v>
      </c>
      <c r="F84" s="110">
        <f>'Econométrico Residencial'!F60*'Econométrico Residencial'!$F$24</f>
        <v>320.54817280281071</v>
      </c>
      <c r="G84" s="110">
        <f>'Econométrico Residencial'!G60*'Econométrico Residencial'!$F$24</f>
        <v>486.92967893895479</v>
      </c>
      <c r="H84" s="110">
        <f>'Econométrico Residencial'!H60*'Econométrico Residencial'!$F$24</f>
        <v>653.31118507509882</v>
      </c>
      <c r="I84" s="110">
        <f>'Econométrico Residencial'!I60*'Econométrico Residencial'!$F$24</f>
        <v>206.17635135343255</v>
      </c>
      <c r="J84" s="110">
        <f>'Econométrico Residencial'!J60*'Econométrico Residencial'!$F$24</f>
        <v>258.18603604019847</v>
      </c>
      <c r="K84" s="110">
        <f>'Econométrico Residencial'!K60*'Econométrico Residencial'!$F$24</f>
        <v>362.20540541373026</v>
      </c>
      <c r="L84" s="110">
        <f>'Econométrico Residencial'!L60*'Econométrico Residencial'!$F$24</f>
        <v>466.22477478726205</v>
      </c>
      <c r="M84" s="110">
        <f>'Econométrico Residencial'!M60*'Econométrico Residencial'!$F$24</f>
        <v>177.97469453404099</v>
      </c>
      <c r="N84" s="110">
        <f>'Econométrico Residencial'!N60*'Econométrico Residencial'!$F$24</f>
        <v>201.7827224014153</v>
      </c>
      <c r="O84" s="110">
        <f>'Econométrico Residencial'!O60*'Econométrico Residencial'!$F$24</f>
        <v>249.39877813616394</v>
      </c>
      <c r="P84" s="111">
        <f>'Econométrico Residencial'!P60*'Econométrico Residencial'!$F$24</f>
        <v>297.01483387091258</v>
      </c>
    </row>
    <row r="85" spans="2:16" ht="24" customHeight="1">
      <c r="B85" s="299"/>
      <c r="C85" s="296" t="s">
        <v>61</v>
      </c>
      <c r="D85" s="94">
        <f>'Ingreso Tarifas BT1'!I1</f>
        <v>43800</v>
      </c>
      <c r="E85" s="102">
        <f>'Econométrico Residencial'!E61</f>
        <v>221.2000083517145</v>
      </c>
      <c r="F85" s="103">
        <f>'Econométrico Residencial'!F61</f>
        <v>298.72779448120679</v>
      </c>
      <c r="G85" s="103">
        <f>'Econométrico Residencial'!G61</f>
        <v>453.78336674019141</v>
      </c>
      <c r="H85" s="103">
        <f>'Econométrico Residencial'!H61</f>
        <v>608.83893899917587</v>
      </c>
      <c r="I85" s="103">
        <f>'Econométrico Residencial'!I61</f>
        <v>192.14149990454484</v>
      </c>
      <c r="J85" s="103">
        <f>'Econométrico Residencial'!J61</f>
        <v>240.61077758686747</v>
      </c>
      <c r="K85" s="103">
        <f>'Econométrico Residencial'!K61</f>
        <v>337.54933295151272</v>
      </c>
      <c r="L85" s="103">
        <f>'Econométrico Residencial'!L61</f>
        <v>434.48788831615798</v>
      </c>
      <c r="M85" s="103">
        <f>'Econométrico Residencial'!M61</f>
        <v>165.85958830071473</v>
      </c>
      <c r="N85" s="103">
        <f>'Econométrico Residencial'!N61</f>
        <v>188.04695437920725</v>
      </c>
      <c r="O85" s="103">
        <f>'Econométrico Residencial'!O61</f>
        <v>232.42168653619228</v>
      </c>
      <c r="P85" s="104">
        <f>'Econométrico Residencial'!P61</f>
        <v>276.79641869317732</v>
      </c>
    </row>
    <row r="86" spans="2:16" ht="22.5" customHeight="1" thickBot="1">
      <c r="B86" s="300"/>
      <c r="C86" s="297"/>
      <c r="D86" s="95">
        <f>D6</f>
        <v>44166</v>
      </c>
      <c r="E86" s="109">
        <f>'Econométrico Residencial'!E61*'Econométrico Residencial'!$F$25</f>
        <v>221.2000083517145</v>
      </c>
      <c r="F86" s="110">
        <f>'Econométrico Residencial'!F61*'Econométrico Residencial'!$F$25</f>
        <v>298.72779448120679</v>
      </c>
      <c r="G86" s="110">
        <f>'Econométrico Residencial'!G61*'Econométrico Residencial'!$F$25</f>
        <v>453.78336674019141</v>
      </c>
      <c r="H86" s="110">
        <f>'Econométrico Residencial'!H61*'Econométrico Residencial'!$F$25</f>
        <v>608.83893899917587</v>
      </c>
      <c r="I86" s="110">
        <f>'Econométrico Residencial'!I61*'Econométrico Residencial'!$F$25</f>
        <v>192.14149990454484</v>
      </c>
      <c r="J86" s="110">
        <f>'Econométrico Residencial'!J61*'Econométrico Residencial'!$F$25</f>
        <v>240.61077758686747</v>
      </c>
      <c r="K86" s="110">
        <f>'Econométrico Residencial'!K61*'Econométrico Residencial'!$F$25</f>
        <v>337.54933295151272</v>
      </c>
      <c r="L86" s="110">
        <f>'Econométrico Residencial'!L61*'Econométrico Residencial'!$F$25</f>
        <v>434.48788831615798</v>
      </c>
      <c r="M86" s="110">
        <f>'Econométrico Residencial'!M61*'Econométrico Residencial'!$F$25</f>
        <v>165.85958830071473</v>
      </c>
      <c r="N86" s="110">
        <f>'Econométrico Residencial'!N61*'Econométrico Residencial'!$F$25</f>
        <v>188.04695437920725</v>
      </c>
      <c r="O86" s="110">
        <f>'Econométrico Residencial'!O61*'Econométrico Residencial'!$F$25</f>
        <v>232.42168653619228</v>
      </c>
      <c r="P86" s="111">
        <f>'Econométrico Residencial'!P61*'Econométrico Residencial'!$F$25</f>
        <v>276.79641869317732</v>
      </c>
    </row>
  </sheetData>
  <sheetProtection algorithmName="SHA-512" hashValue="rdzeHsSe/yWDrOFjDofMI4Th+NYaziazU8xJVt+iYjA7VJ8Ybf5WyQBXwchW+6EmeLKhONYpzrrcX6N5v6Hl4Q==" saltValue="ZOMaIIgMRnRoWB54UQo6/g==" spinCount="100000" sheet="1" objects="1" scenarios="1"/>
  <mergeCells count="94">
    <mergeCell ref="D26:G26"/>
    <mergeCell ref="D27:G27"/>
    <mergeCell ref="D28:G28"/>
    <mergeCell ref="D29:G29"/>
    <mergeCell ref="D30:G30"/>
    <mergeCell ref="D21:G21"/>
    <mergeCell ref="D22:G22"/>
    <mergeCell ref="D23:G23"/>
    <mergeCell ref="D24:G24"/>
    <mergeCell ref="D25:G25"/>
    <mergeCell ref="C9:C10"/>
    <mergeCell ref="B9:B10"/>
    <mergeCell ref="B11:B12"/>
    <mergeCell ref="E55:H55"/>
    <mergeCell ref="H9:K9"/>
    <mergeCell ref="B25:B26"/>
    <mergeCell ref="B27:B28"/>
    <mergeCell ref="B29:B30"/>
    <mergeCell ref="D13:G13"/>
    <mergeCell ref="D14:G14"/>
    <mergeCell ref="D15:G15"/>
    <mergeCell ref="D16:G16"/>
    <mergeCell ref="D17:G17"/>
    <mergeCell ref="D18:G18"/>
    <mergeCell ref="D19:G19"/>
    <mergeCell ref="D20:G20"/>
    <mergeCell ref="E56:H56"/>
    <mergeCell ref="E57:H57"/>
    <mergeCell ref="B33:C33"/>
    <mergeCell ref="E51:H51"/>
    <mergeCell ref="E52:H52"/>
    <mergeCell ref="C49:C50"/>
    <mergeCell ref="E53:H53"/>
    <mergeCell ref="E54:H54"/>
    <mergeCell ref="D63:D64"/>
    <mergeCell ref="E63:H63"/>
    <mergeCell ref="I63:L63"/>
    <mergeCell ref="M63:P63"/>
    <mergeCell ref="B63:B64"/>
    <mergeCell ref="B65:B66"/>
    <mergeCell ref="B67:B68"/>
    <mergeCell ref="B69:B70"/>
    <mergeCell ref="B43:B50"/>
    <mergeCell ref="B37:B38"/>
    <mergeCell ref="B39:B40"/>
    <mergeCell ref="B41:B42"/>
    <mergeCell ref="B6:C6"/>
    <mergeCell ref="C51:C52"/>
    <mergeCell ref="C53:C54"/>
    <mergeCell ref="C55:C56"/>
    <mergeCell ref="C57:C58"/>
    <mergeCell ref="B51:B58"/>
    <mergeCell ref="C43:C44"/>
    <mergeCell ref="C45:C46"/>
    <mergeCell ref="C47:C48"/>
    <mergeCell ref="B35:B36"/>
    <mergeCell ref="B13:B14"/>
    <mergeCell ref="B15:B16"/>
    <mergeCell ref="B17:B18"/>
    <mergeCell ref="B19:B20"/>
    <mergeCell ref="B21:B22"/>
    <mergeCell ref="B23:B24"/>
    <mergeCell ref="E58:H58"/>
    <mergeCell ref="C35:C36"/>
    <mergeCell ref="C63:C64"/>
    <mergeCell ref="C79:C80"/>
    <mergeCell ref="C81:C82"/>
    <mergeCell ref="E43:H43"/>
    <mergeCell ref="E44:H44"/>
    <mergeCell ref="E45:H45"/>
    <mergeCell ref="E46:H46"/>
    <mergeCell ref="E47:H47"/>
    <mergeCell ref="E48:H48"/>
    <mergeCell ref="E49:H49"/>
    <mergeCell ref="E50:H50"/>
    <mergeCell ref="E35:H35"/>
    <mergeCell ref="D35:D36"/>
    <mergeCell ref="E62:P62"/>
    <mergeCell ref="C83:C84"/>
    <mergeCell ref="C85:C86"/>
    <mergeCell ref="B79:B86"/>
    <mergeCell ref="B71:B78"/>
    <mergeCell ref="C71:C72"/>
    <mergeCell ref="C73:C74"/>
    <mergeCell ref="C75:C76"/>
    <mergeCell ref="C77:C78"/>
    <mergeCell ref="H8:S8"/>
    <mergeCell ref="L9:O9"/>
    <mergeCell ref="P9:S9"/>
    <mergeCell ref="D9:D10"/>
    <mergeCell ref="E9:E10"/>
    <mergeCell ref="F9:F10"/>
    <mergeCell ref="G9:G10"/>
    <mergeCell ref="D8:G8"/>
  </mergeCells>
  <pageMargins left="0.7" right="0.7" top="0.75" bottom="0.75" header="0.3" footer="0.3"/>
  <ignoredErrors>
    <ignoredError sqref="D40 D66 D68 D38 D52:D58 D44 D80:D86 D46 D48 D50 D72:D78 C12 C17:C30 C14:C16" formula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32BC4D-E452-4F43-B364-E7373E3B4300}">
          <x14:formula1>
            <xm:f>'Mes Año Costo de Falla'!$B$3:$B$1048576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D905-410B-4C18-82E9-D2CD91ED8A57}">
  <sheetPr>
    <tabColor theme="9" tint="0.59999389629810485"/>
  </sheetPr>
  <dimension ref="B1:B4"/>
  <sheetViews>
    <sheetView showGridLines="0" workbookViewId="0">
      <pane xSplit="1" ySplit="2" topLeftCell="B3" activePane="bottomRight" state="frozen"/>
      <selection pane="bottomRight" activeCell="B2" sqref="B2"/>
      <selection pane="bottomLeft" activeCell="A3" sqref="A3"/>
      <selection pane="topRight" activeCell="B1" sqref="B1"/>
    </sheetView>
  </sheetViews>
  <sheetFormatPr defaultColWidth="11.42578125" defaultRowHeight="14.45"/>
  <cols>
    <col min="2" max="2" width="30.140625" style="213" customWidth="1"/>
  </cols>
  <sheetData>
    <row r="1" spans="2:2">
      <c r="B1" s="25"/>
    </row>
    <row r="2" spans="2:2" ht="27.6">
      <c r="B2" s="211" t="s">
        <v>63</v>
      </c>
    </row>
    <row r="3" spans="2:2">
      <c r="B3" s="212">
        <v>44013</v>
      </c>
    </row>
    <row r="4" spans="2:2">
      <c r="B4" s="212">
        <v>44166</v>
      </c>
    </row>
  </sheetData>
  <sheetProtection algorithmName="SHA-512" hashValue="bqSq2z+R+L7MrhAemCC0SG9VwUGWs6XVSchVQGdzc6JY/U4N8gfwlLRDvFPEyxKL3ir2gh625OUxl7HEjdh6HQ==" saltValue="X97plBpebEwW0WfJoufKRQ==" spinCount="100000" sheet="1" objects="1" scenarios="1" formatCells="0" formatColumns="0" formatRows="0" deleteRow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7370-8993-48C1-8829-80C40DAAEEEA}">
  <sheetPr>
    <tabColor theme="9" tint="0.59999389629810485"/>
  </sheetPr>
  <dimension ref="A1:CZ19"/>
  <sheetViews>
    <sheetView showGridLines="0" zoomScale="90" zoomScaleNormal="90" workbookViewId="0">
      <pane xSplit="5" ySplit="2" topLeftCell="I3" activePane="bottomRight" state="frozen"/>
      <selection pane="bottomRight" activeCell="Q7" sqref="Q7"/>
      <selection pane="bottomLeft" activeCell="D19" sqref="D19:D20"/>
      <selection pane="topRight" activeCell="D19" sqref="D19:D20"/>
    </sheetView>
  </sheetViews>
  <sheetFormatPr defaultColWidth="11.42578125" defaultRowHeight="14.45"/>
  <cols>
    <col min="1" max="1" width="3.85546875" style="3" customWidth="1"/>
    <col min="2" max="2" width="15.42578125" style="3" customWidth="1"/>
    <col min="3" max="3" width="10.140625" style="3" bestFit="1" customWidth="1"/>
    <col min="4" max="4" width="11.42578125" style="3"/>
    <col min="5" max="5" width="11.42578125" style="3" customWidth="1"/>
    <col min="6" max="6" width="12.28515625" style="3" customWidth="1"/>
    <col min="7" max="7" width="11.42578125" style="3"/>
    <col min="8" max="8" width="79" style="3" bestFit="1" customWidth="1"/>
    <col min="9" max="10" width="13.28515625" style="3" customWidth="1"/>
    <col min="11" max="14" width="11.42578125" style="3"/>
    <col min="15" max="16384" width="11.42578125" style="188"/>
  </cols>
  <sheetData>
    <row r="1" spans="1:104" s="189" customFormat="1" ht="25.5" customHeight="1">
      <c r="A1" s="347"/>
      <c r="B1" s="346"/>
      <c r="C1" s="346" t="s">
        <v>64</v>
      </c>
      <c r="D1" s="346" t="s">
        <v>65</v>
      </c>
      <c r="E1" s="346" t="s">
        <v>66</v>
      </c>
      <c r="F1" s="346" t="s">
        <v>67</v>
      </c>
      <c r="G1" s="346" t="s">
        <v>68</v>
      </c>
      <c r="H1" s="346" t="s">
        <v>69</v>
      </c>
      <c r="I1" s="201">
        <v>43800</v>
      </c>
      <c r="J1" s="201">
        <v>43800</v>
      </c>
      <c r="K1" s="201">
        <f>IF(INDEX('Select Index Min, Indust y Serv'!$H$1:$XFD$1,2)="","",INDEX('Select Index Min, Indust y Serv'!$H$1:$XFD$1,2))</f>
        <v>44013</v>
      </c>
      <c r="L1" s="201">
        <f>IF(INDEX('Select Index Min, Indust y Serv'!$H$1:$XFD$1,2)="","",INDEX('Select Index Min, Indust y Serv'!$H$1:$XFD$1,2))</f>
        <v>44013</v>
      </c>
      <c r="M1" s="201">
        <f>IF(INDEX('Select Index Min, Indust y Serv'!$H$1:$XFD$1,3)="","",INDEX('Select Index Min, Indust y Serv'!$H$1:$XFD$1,3))</f>
        <v>44166</v>
      </c>
      <c r="N1" s="201">
        <f>IF(INDEX('Select Index Min, Indust y Serv'!$H$1:$XFD$1,3)="","",INDEX('Select Index Min, Indust y Serv'!$H$1:$XFD$1,3))</f>
        <v>44166</v>
      </c>
      <c r="O1" s="201" t="str">
        <f>IF(INDEX('Select Index Min, Indust y Serv'!$H$1:$XFD$1,4)="","",INDEX('Select Index Min, Indust y Serv'!$H$1:$XFD$1,4))</f>
        <v/>
      </c>
      <c r="P1" s="201" t="str">
        <f>IF(INDEX('Select Index Min, Indust y Serv'!$H$1:$XFD$1,4)="","",INDEX('Select Index Min, Indust y Serv'!$H$1:$XFD$1,4))</f>
        <v/>
      </c>
      <c r="Q1" s="201" t="str">
        <f>IF(INDEX('Select Index Min, Indust y Serv'!$H$1:$XFD$1,5)="","",INDEX('Select Index Min, Indust y Serv'!$H$1:$XFD$1,5))</f>
        <v/>
      </c>
      <c r="R1" s="201" t="str">
        <f>IF(INDEX('Select Index Min, Indust y Serv'!$H$1:$XFD$1,5)="","",INDEX('Select Index Min, Indust y Serv'!$H$1:$XFD$1,5))</f>
        <v/>
      </c>
      <c r="S1" s="201" t="str">
        <f>IF(INDEX('Select Index Min, Indust y Serv'!$H$1:$XFD$1,6)="","",INDEX('Select Index Min, Indust y Serv'!$H$1:$XFD$1,6))</f>
        <v/>
      </c>
      <c r="T1" s="201" t="str">
        <f>IF(INDEX('Select Index Min, Indust y Serv'!$H$1:$XFD$1,6)="","",INDEX('Select Index Min, Indust y Serv'!$H$1:$XFD$1,6))</f>
        <v/>
      </c>
      <c r="U1" s="201" t="str">
        <f>IF(INDEX('Select Index Min, Indust y Serv'!$H$1:$XFD$1,7)="","",INDEX('Select Index Min, Indust y Serv'!$H$1:$XFD$1,7))</f>
        <v/>
      </c>
      <c r="V1" s="201" t="str">
        <f>IF(INDEX('Select Index Min, Indust y Serv'!$H$1:$XFD$1,7)="","",INDEX('Select Index Min, Indust y Serv'!$H$1:$XFD$1,7))</f>
        <v/>
      </c>
      <c r="W1" s="201" t="str">
        <f>IF(INDEX('Select Index Min, Indust y Serv'!$H$1:$XFD$1,8)="","",INDEX('Select Index Min, Indust y Serv'!$H$1:$XFD$1,8))</f>
        <v/>
      </c>
      <c r="X1" s="201" t="str">
        <f>IF(INDEX('Select Index Min, Indust y Serv'!$H$1:$XFD$1,8)="","",INDEX('Select Index Min, Indust y Serv'!$H$1:$XFD$1,8))</f>
        <v/>
      </c>
      <c r="Y1" s="201" t="str">
        <f>IF(INDEX('Select Index Min, Indust y Serv'!$H$1:$XFD$1,9)="","",INDEX('Select Index Min, Indust y Serv'!$H$1:$XFD$1,9))</f>
        <v/>
      </c>
      <c r="Z1" s="201" t="str">
        <f>IF(INDEX('Select Index Min, Indust y Serv'!$H$1:$XFD$1,9)="","",INDEX('Select Index Min, Indust y Serv'!$H$1:$XFD$1,9))</f>
        <v/>
      </c>
      <c r="AA1" s="201" t="str">
        <f>IF(INDEX('Select Index Min, Indust y Serv'!$H$1:$XFD$1,10)="","",INDEX('Select Index Min, Indust y Serv'!$H$1:$XFD$1,10))</f>
        <v/>
      </c>
      <c r="AB1" s="201" t="str">
        <f>IF(INDEX('Select Index Min, Indust y Serv'!$H$1:$XFD$1,10)="","",INDEX('Select Index Min, Indust y Serv'!$H$1:$XFD$1,10))</f>
        <v/>
      </c>
      <c r="AC1" s="201" t="str">
        <f>IF(INDEX('Select Index Min, Indust y Serv'!$H$1:$XFD$1,11)="","",INDEX('Select Index Min, Indust y Serv'!$H$1:$XFD$1,11))</f>
        <v/>
      </c>
      <c r="AD1" s="201" t="str">
        <f>IF(INDEX('Select Index Min, Indust y Serv'!$H$1:$XFD$1,11)="","",INDEX('Select Index Min, Indust y Serv'!$H$1:$XFD$1,11))</f>
        <v/>
      </c>
      <c r="AE1" s="201" t="str">
        <f>IF(INDEX('Select Index Min, Indust y Serv'!$H$1:$XFD$1,12)="","",INDEX('Select Index Min, Indust y Serv'!$H$1:$XFD$1,12))</f>
        <v/>
      </c>
      <c r="AF1" s="201" t="str">
        <f>IF(INDEX('Select Index Min, Indust y Serv'!$H$1:$XFD$1,12)="","",INDEX('Select Index Min, Indust y Serv'!$H$1:$XFD$1,12))</f>
        <v/>
      </c>
      <c r="AG1" s="201" t="str">
        <f>IF(INDEX('Select Index Min, Indust y Serv'!$H$1:$XFD$1,13)="","",INDEX('Select Index Min, Indust y Serv'!$H$1:$XFD$1,13))</f>
        <v/>
      </c>
      <c r="AH1" s="201" t="str">
        <f>IF(INDEX('Select Index Min, Indust y Serv'!$H$1:$XFD$1,13)="","",INDEX('Select Index Min, Indust y Serv'!$H$1:$XFD$1,13))</f>
        <v/>
      </c>
      <c r="AI1" s="201" t="str">
        <f>IF(INDEX('Select Index Min, Indust y Serv'!$H$1:$XFD$1,14)="","",INDEX('Select Index Min, Indust y Serv'!$H$1:$XFD$1,14))</f>
        <v/>
      </c>
      <c r="AJ1" s="201" t="str">
        <f>IF(INDEX('Select Index Min, Indust y Serv'!$H$1:$XFD$1,14)="","",INDEX('Select Index Min, Indust y Serv'!$H$1:$XFD$1,14))</f>
        <v/>
      </c>
      <c r="AK1" s="201" t="str">
        <f>IF(INDEX('Select Index Min, Indust y Serv'!$H$1:$XFD$1,15)="","",INDEX('Select Index Min, Indust y Serv'!$H$1:$XFD$1,15))</f>
        <v/>
      </c>
      <c r="AL1" s="201" t="str">
        <f>IF(INDEX('Select Index Min, Indust y Serv'!$H$1:$XFD$1,15)="","",INDEX('Select Index Min, Indust y Serv'!$H$1:$XFD$1,15))</f>
        <v/>
      </c>
      <c r="AM1" s="201" t="str">
        <f>IF(INDEX('Select Index Min, Indust y Serv'!$H$1:$XFD$1,16)="","",INDEX('Select Index Min, Indust y Serv'!$H$1:$XFD$1,16))</f>
        <v/>
      </c>
      <c r="AN1" s="201" t="str">
        <f>IF(INDEX('Select Index Min, Indust y Serv'!$H$1:$XFD$1,16)="","",INDEX('Select Index Min, Indust y Serv'!$H$1:$XFD$1,16))</f>
        <v/>
      </c>
      <c r="AO1" s="201" t="str">
        <f>IF(INDEX('Select Index Min, Indust y Serv'!$H$1:$XFD$1,17)="","",INDEX('Select Index Min, Indust y Serv'!$H$1:$XFD$1,17))</f>
        <v/>
      </c>
      <c r="AP1" s="201" t="str">
        <f>IF(INDEX('Select Index Min, Indust y Serv'!$H$1:$XFD$1,17)="","",INDEX('Select Index Min, Indust y Serv'!$H$1:$XFD$1,17))</f>
        <v/>
      </c>
      <c r="AQ1" s="201" t="str">
        <f>IF(INDEX('Select Index Min, Indust y Serv'!$H$1:$XFD$1,18)="","",INDEX('Select Index Min, Indust y Serv'!$H$1:$XFD$1,18))</f>
        <v/>
      </c>
      <c r="AR1" s="201" t="str">
        <f>IF(INDEX('Select Index Min, Indust y Serv'!$H$1:$XFD$1,18)="","",INDEX('Select Index Min, Indust y Serv'!$H$1:$XFD$1,18))</f>
        <v/>
      </c>
      <c r="AS1" s="201" t="str">
        <f>IF(INDEX('Select Index Min, Indust y Serv'!$H$1:$XFD$1,19)="","",INDEX('Select Index Min, Indust y Serv'!$H$1:$XFD$1,19))</f>
        <v/>
      </c>
      <c r="AT1" s="201" t="str">
        <f>IF(INDEX('Select Index Min, Indust y Serv'!$H$1:$XFD$1,19)="","",INDEX('Select Index Min, Indust y Serv'!$H$1:$XFD$1,19))</f>
        <v/>
      </c>
      <c r="AU1" s="201" t="str">
        <f>IF(INDEX('Select Index Min, Indust y Serv'!$H$1:$XFD$1,20)="","",INDEX('Select Index Min, Indust y Serv'!$H$1:$XFD$1,20))</f>
        <v/>
      </c>
      <c r="AV1" s="201" t="str">
        <f>IF(INDEX('Select Index Min, Indust y Serv'!$H$1:$XFD$1,20)="","",INDEX('Select Index Min, Indust y Serv'!$H$1:$XFD$1,20))</f>
        <v/>
      </c>
      <c r="AW1" s="201" t="str">
        <f>IF(INDEX('Select Index Min, Indust y Serv'!$H$1:$XFD$1,21)="","",INDEX('Select Index Min, Indust y Serv'!$H$1:$XFD$1,21))</f>
        <v/>
      </c>
      <c r="AX1" s="201" t="str">
        <f>IF(INDEX('Select Index Min, Indust y Serv'!$H$1:$XFD$1,21)="","",INDEX('Select Index Min, Indust y Serv'!$H$1:$XFD$1,21))</f>
        <v/>
      </c>
      <c r="AY1" s="201" t="str">
        <f>IF(INDEX('Select Index Min, Indust y Serv'!$H$1:$XFD$1,22)="","",INDEX('Select Index Min, Indust y Serv'!$H$1:$XFD$1,22))</f>
        <v/>
      </c>
      <c r="AZ1" s="201" t="str">
        <f>IF(INDEX('Select Index Min, Indust y Serv'!$H$1:$XFD$1,22)="","",INDEX('Select Index Min, Indust y Serv'!$H$1:$XFD$1,22))</f>
        <v/>
      </c>
      <c r="BA1" s="201" t="str">
        <f>IF(INDEX('Select Index Min, Indust y Serv'!$H$1:$XFD$1,23)="","",INDEX('Select Index Min, Indust y Serv'!$H$1:$XFD$1,23))</f>
        <v/>
      </c>
      <c r="BB1" s="201" t="str">
        <f>IF(INDEX('Select Index Min, Indust y Serv'!$H$1:$XFD$1,23)="","",INDEX('Select Index Min, Indust y Serv'!$H$1:$XFD$1,23))</f>
        <v/>
      </c>
      <c r="BC1" s="201" t="str">
        <f>IF(INDEX('Select Index Min, Indust y Serv'!$H$1:$XFD$1,24)="","",INDEX('Select Index Min, Indust y Serv'!$H$1:$XFD$1,24))</f>
        <v/>
      </c>
      <c r="BD1" s="201" t="str">
        <f>IF(INDEX('Select Index Min, Indust y Serv'!$H$1:$XFD$1,24)="","",INDEX('Select Index Min, Indust y Serv'!$H$1:$XFD$1,24))</f>
        <v/>
      </c>
      <c r="BE1" s="201" t="str">
        <f>IF(INDEX('Select Index Min, Indust y Serv'!$H$1:$XFD$1,25)="","",INDEX('Select Index Min, Indust y Serv'!$H$1:$XFD$1,25))</f>
        <v/>
      </c>
      <c r="BF1" s="201" t="str">
        <f>IF(INDEX('Select Index Min, Indust y Serv'!$H$1:$XFD$1,25)="","",INDEX('Select Index Min, Indust y Serv'!$H$1:$XFD$1,25))</f>
        <v/>
      </c>
      <c r="BG1" s="201" t="str">
        <f>IF(INDEX('Select Index Min, Indust y Serv'!$H$1:$XFD$1,26)="","",INDEX('Select Index Min, Indust y Serv'!$H$1:$XFD$1,26))</f>
        <v/>
      </c>
      <c r="BH1" s="201" t="str">
        <f>IF(INDEX('Select Index Min, Indust y Serv'!$H$1:$XFD$1,26)="","",INDEX('Select Index Min, Indust y Serv'!$H$1:$XFD$1,26))</f>
        <v/>
      </c>
      <c r="BI1" s="201" t="str">
        <f>IF(INDEX('Select Index Min, Indust y Serv'!$H$1:$XFD$1,27)="","",INDEX('Select Index Min, Indust y Serv'!$H$1:$XFD$1,27))</f>
        <v/>
      </c>
      <c r="BJ1" s="201" t="str">
        <f>IF(INDEX('Select Index Min, Indust y Serv'!$H$1:$XFD$1,27)="","",INDEX('Select Index Min, Indust y Serv'!$H$1:$XFD$1,27))</f>
        <v/>
      </c>
      <c r="BK1" s="201" t="str">
        <f>IF(INDEX('Select Index Min, Indust y Serv'!$H$1:$XFD$1,28)="","",INDEX('Select Index Min, Indust y Serv'!$H$1:$XFD$1,28))</f>
        <v/>
      </c>
      <c r="BL1" s="201" t="str">
        <f>IF(INDEX('Select Index Min, Indust y Serv'!$H$1:$XFD$1,28)="","",INDEX('Select Index Min, Indust y Serv'!$H$1:$XFD$1,28))</f>
        <v/>
      </c>
      <c r="BM1" s="201" t="str">
        <f>IF(INDEX('Select Index Min, Indust y Serv'!$H$1:$XFD$1,29)="","",INDEX('Select Index Min, Indust y Serv'!$H$1:$XFD$1,29))</f>
        <v/>
      </c>
      <c r="BN1" s="201" t="str">
        <f>IF(INDEX('Select Index Min, Indust y Serv'!$H$1:$XFD$1,29)="","",INDEX('Select Index Min, Indust y Serv'!$H$1:$XFD$1,29))</f>
        <v/>
      </c>
      <c r="BO1" s="201" t="str">
        <f>IF(INDEX('Select Index Min, Indust y Serv'!$H$1:$XFD$1,30)="","",INDEX('Select Index Min, Indust y Serv'!$H$1:$XFD$1,30))</f>
        <v/>
      </c>
      <c r="BP1" s="201" t="str">
        <f>IF(INDEX('Select Index Min, Indust y Serv'!$H$1:$XFD$1,30)="","",INDEX('Select Index Min, Indust y Serv'!$H$1:$XFD$1,30))</f>
        <v/>
      </c>
      <c r="BQ1" s="201" t="str">
        <f>IF(INDEX('Select Index Min, Indust y Serv'!$H$1:$XFD$1,31)="","",INDEX('Select Index Min, Indust y Serv'!$H$1:$XFD$1,31))</f>
        <v/>
      </c>
      <c r="BR1" s="201" t="str">
        <f>IF(INDEX('Select Index Min, Indust y Serv'!$H$1:$XFD$1,31)="","",INDEX('Select Index Min, Indust y Serv'!$H$1:$XFD$1,31))</f>
        <v/>
      </c>
      <c r="BS1" s="201" t="str">
        <f>IF(INDEX('Select Index Min, Indust y Serv'!$H$1:$XFD$1,32)="","",INDEX('Select Index Min, Indust y Serv'!$H$1:$XFD$1,32))</f>
        <v/>
      </c>
      <c r="BT1" s="201" t="str">
        <f>IF(INDEX('Select Index Min, Indust y Serv'!$H$1:$XFD$1,32)="","",INDEX('Select Index Min, Indust y Serv'!$H$1:$XFD$1,32))</f>
        <v/>
      </c>
      <c r="BU1" s="201" t="str">
        <f>IF(INDEX('Select Index Min, Indust y Serv'!$H$1:$XFD$1,33)="","",INDEX('Select Index Min, Indust y Serv'!$H$1:$XFD$1,33))</f>
        <v/>
      </c>
      <c r="BV1" s="201" t="str">
        <f>IF(INDEX('Select Index Min, Indust y Serv'!$H$1:$XFD$1,33)="","",INDEX('Select Index Min, Indust y Serv'!$H$1:$XFD$1,33))</f>
        <v/>
      </c>
      <c r="BW1" s="201" t="str">
        <f>IF(INDEX('Select Index Min, Indust y Serv'!$H$1:$XFD$1,34)="","",INDEX('Select Index Min, Indust y Serv'!$H$1:$XFD$1,34))</f>
        <v/>
      </c>
      <c r="BX1" s="201" t="str">
        <f>IF(INDEX('Select Index Min, Indust y Serv'!$H$1:$XFD$1,34)="","",INDEX('Select Index Min, Indust y Serv'!$H$1:$XFD$1,34))</f>
        <v/>
      </c>
      <c r="BY1" s="201" t="str">
        <f>IF(INDEX('Select Index Min, Indust y Serv'!$H$1:$XFD$1,35)="","",INDEX('Select Index Min, Indust y Serv'!$H$1:$XFD$1,35))</f>
        <v/>
      </c>
      <c r="BZ1" s="201" t="str">
        <f>IF(INDEX('Select Index Min, Indust y Serv'!$H$1:$XFD$1,35)="","",INDEX('Select Index Min, Indust y Serv'!$H$1:$XFD$1,35))</f>
        <v/>
      </c>
      <c r="CA1" s="201" t="str">
        <f>IF(INDEX('Select Index Min, Indust y Serv'!$H$1:$XFD$1,36)="","",INDEX('Select Index Min, Indust y Serv'!$H$1:$XFD$1,36))</f>
        <v/>
      </c>
      <c r="CB1" s="201" t="str">
        <f>IF(INDEX('Select Index Min, Indust y Serv'!$H$1:$XFD$1,36)="","",INDEX('Select Index Min, Indust y Serv'!$H$1:$XFD$1,36))</f>
        <v/>
      </c>
      <c r="CC1" s="201" t="str">
        <f>IF(INDEX('Select Index Min, Indust y Serv'!$H$1:$XFD$1,37)="","",INDEX('Select Index Min, Indust y Serv'!$H$1:$XFD$1,37))</f>
        <v/>
      </c>
      <c r="CD1" s="201" t="str">
        <f>IF(INDEX('Select Index Min, Indust y Serv'!$H$1:$XFD$1,37)="","",INDEX('Select Index Min, Indust y Serv'!$H$1:$XFD$1,37))</f>
        <v/>
      </c>
      <c r="CE1" s="201" t="str">
        <f>IF(INDEX('Select Index Min, Indust y Serv'!$H$1:$XFD$1,38)="","",INDEX('Select Index Min, Indust y Serv'!$H$1:$XFD$1,38))</f>
        <v/>
      </c>
      <c r="CF1" s="201" t="str">
        <f>IF(INDEX('Select Index Min, Indust y Serv'!$H$1:$XFD$1,38)="","",INDEX('Select Index Min, Indust y Serv'!$H$1:$XFD$1,38))</f>
        <v/>
      </c>
      <c r="CG1" s="201" t="str">
        <f>IF(INDEX('Select Index Min, Indust y Serv'!$H$1:$XFD$1,39)="","",INDEX('Select Index Min, Indust y Serv'!$H$1:$XFD$1,39))</f>
        <v/>
      </c>
      <c r="CH1" s="201" t="str">
        <f>IF(INDEX('Select Index Min, Indust y Serv'!$H$1:$XFD$1,39)="","",INDEX('Select Index Min, Indust y Serv'!$H$1:$XFD$1,39))</f>
        <v/>
      </c>
      <c r="CI1" s="201" t="str">
        <f>IF(INDEX('Select Index Min, Indust y Serv'!$H$1:$XFD$1,40)="","",INDEX('Select Index Min, Indust y Serv'!$H$1:$XFD$1,40))</f>
        <v/>
      </c>
      <c r="CJ1" s="201" t="str">
        <f>IF(INDEX('Select Index Min, Indust y Serv'!$H$1:$XFD$1,40)="","",INDEX('Select Index Min, Indust y Serv'!$H$1:$XFD$1,40))</f>
        <v/>
      </c>
      <c r="CK1" s="201" t="str">
        <f>IF(INDEX('Select Index Min, Indust y Serv'!$H$1:$XFD$1,41)="","",INDEX('Select Index Min, Indust y Serv'!$H$1:$XFD$1,41))</f>
        <v/>
      </c>
      <c r="CL1" s="201" t="str">
        <f>IF(INDEX('Select Index Min, Indust y Serv'!$H$1:$XFD$1,41)="","",INDEX('Select Index Min, Indust y Serv'!$H$1:$XFD$1,41))</f>
        <v/>
      </c>
      <c r="CM1" s="201" t="str">
        <f>IF(INDEX('Select Index Min, Indust y Serv'!$H$1:$XFD$1,42)="","",INDEX('Select Index Min, Indust y Serv'!$H$1:$XFD$1,42))</f>
        <v/>
      </c>
      <c r="CN1" s="201" t="str">
        <f>IF(INDEX('Select Index Min, Indust y Serv'!$H$1:$XFD$1,42)="","",INDEX('Select Index Min, Indust y Serv'!$H$1:$XFD$1,42))</f>
        <v/>
      </c>
      <c r="CO1" s="201" t="str">
        <f>IF(INDEX('Select Index Min, Indust y Serv'!$H$1:$XFD$1,43)="","",INDEX('Select Index Min, Indust y Serv'!$H$1:$XFD$1,43))</f>
        <v/>
      </c>
      <c r="CP1" s="201" t="str">
        <f>IF(INDEX('Select Index Min, Indust y Serv'!$H$1:$XFD$1,43)="","",INDEX('Select Index Min, Indust y Serv'!$H$1:$XFD$1,43))</f>
        <v/>
      </c>
      <c r="CQ1" s="201" t="str">
        <f>IF(INDEX('Select Index Min, Indust y Serv'!$H$1:$XFD$1,44)="","",INDEX('Select Index Min, Indust y Serv'!$H$1:$XFD$1,44))</f>
        <v/>
      </c>
      <c r="CR1" s="201" t="str">
        <f>IF(INDEX('Select Index Min, Indust y Serv'!$H$1:$XFD$1,44)="","",INDEX('Select Index Min, Indust y Serv'!$H$1:$XFD$1,44))</f>
        <v/>
      </c>
      <c r="CS1" s="201" t="str">
        <f>IF(INDEX('Select Index Min, Indust y Serv'!$H$1:$XFD$1,45)="","",INDEX('Select Index Min, Indust y Serv'!$H$1:$XFD$1,45))</f>
        <v/>
      </c>
      <c r="CT1" s="201" t="str">
        <f>IF(INDEX('Select Index Min, Indust y Serv'!$H$1:$XFD$1,45)="","",INDEX('Select Index Min, Indust y Serv'!$H$1:$XFD$1,45))</f>
        <v/>
      </c>
      <c r="CU1" s="201" t="str">
        <f>IF(INDEX('Select Index Min, Indust y Serv'!$H$1:$XFD$1,46)="","",INDEX('Select Index Min, Indust y Serv'!$H$1:$XFD$1,46))</f>
        <v/>
      </c>
      <c r="CV1" s="201" t="str">
        <f>IF(INDEX('Select Index Min, Indust y Serv'!$H$1:$XFD$1,46)="","",INDEX('Select Index Min, Indust y Serv'!$H$1:$XFD$1,46))</f>
        <v/>
      </c>
      <c r="CW1" s="201" t="str">
        <f>IF(INDEX('Select Index Min, Indust y Serv'!$H$1:$XFD$1,47)="","",INDEX('Select Index Min, Indust y Serv'!$H$1:$XFD$1,47))</f>
        <v/>
      </c>
      <c r="CX1" s="201" t="str">
        <f>IF(INDEX('Select Index Min, Indust y Serv'!$H$1:$XFD$1,47)="","",INDEX('Select Index Min, Indust y Serv'!$H$1:$XFD$1,47))</f>
        <v/>
      </c>
      <c r="CY1" s="201" t="str">
        <f>IF(INDEX('Select Index Min, Indust y Serv'!$H$1:$XFD$1,48)="","",INDEX('Select Index Min, Indust y Serv'!$H$1:$XFD$1,48))</f>
        <v/>
      </c>
      <c r="CZ1" s="201" t="str">
        <f>IF(INDEX('Select Index Min, Indust y Serv'!$H$1:$XFD$1,48)="","",INDEX('Select Index Min, Indust y Serv'!$H$1:$XFD$1,48))</f>
        <v/>
      </c>
    </row>
    <row r="2" spans="1:104" s="189" customFormat="1" ht="41.45">
      <c r="A2" s="347"/>
      <c r="B2" s="346"/>
      <c r="C2" s="346"/>
      <c r="D2" s="346"/>
      <c r="E2" s="346"/>
      <c r="F2" s="346"/>
      <c r="G2" s="346"/>
      <c r="H2" s="346"/>
      <c r="I2" s="276" t="s">
        <v>70</v>
      </c>
      <c r="J2" s="276" t="s">
        <v>71</v>
      </c>
      <c r="K2" s="276" t="str">
        <f>IF(K1="","",$I$2)</f>
        <v>Cargo por energía
($/kWh)</v>
      </c>
      <c r="L2" s="276" t="str">
        <f>IF(L1="","",$J$2)</f>
        <v>Cargo por transmisión
($/kWh)</v>
      </c>
      <c r="M2" s="276" t="str">
        <f>IF(M1="","",$I$2)</f>
        <v>Cargo por energía
($/kWh)</v>
      </c>
      <c r="N2" s="276" t="str">
        <f>IF(N1="","",$J$2)</f>
        <v>Cargo por transmisión
($/kWh)</v>
      </c>
      <c r="O2" s="276" t="str">
        <f>IF(O1="","",$I$2)</f>
        <v/>
      </c>
      <c r="P2" s="276" t="str">
        <f>IF(P1="","",$J$2)</f>
        <v/>
      </c>
      <c r="Q2" s="276" t="str">
        <f>IF(Q1="","",$I$2)</f>
        <v/>
      </c>
      <c r="R2" s="276" t="str">
        <f>IF(R1="","",$J$2)</f>
        <v/>
      </c>
      <c r="S2" s="276" t="str">
        <f>IF(S1="","",$I$2)</f>
        <v/>
      </c>
      <c r="T2" s="276" t="str">
        <f>IF(T1="","",$J$2)</f>
        <v/>
      </c>
      <c r="U2" s="276" t="str">
        <f>IF(U1="","",$I$2)</f>
        <v/>
      </c>
      <c r="V2" s="276" t="str">
        <f>IF(V1="","",$J$2)</f>
        <v/>
      </c>
      <c r="W2" s="276" t="str">
        <f>IF(W1="","",$I$2)</f>
        <v/>
      </c>
      <c r="X2" s="276" t="str">
        <f>IF(X1="","",$J$2)</f>
        <v/>
      </c>
      <c r="Y2" s="276" t="str">
        <f>IF(Y1="","",$I$2)</f>
        <v/>
      </c>
      <c r="Z2" s="276" t="str">
        <f>IF(Z1="","",$J$2)</f>
        <v/>
      </c>
      <c r="AA2" s="276" t="str">
        <f>IF(AA1="","",$I$2)</f>
        <v/>
      </c>
      <c r="AB2" s="276" t="str">
        <f>IF(AB1="","",$J$2)</f>
        <v/>
      </c>
      <c r="AC2" s="276" t="str">
        <f>IF(AC1="","",$I$2)</f>
        <v/>
      </c>
      <c r="AD2" s="276" t="str">
        <f>IF(AD1="","",$J$2)</f>
        <v/>
      </c>
      <c r="AE2" s="276" t="str">
        <f>IF(AE1="","",$I$2)</f>
        <v/>
      </c>
      <c r="AF2" s="276" t="str">
        <f>IF(AF1="","",$J$2)</f>
        <v/>
      </c>
      <c r="AG2" s="276" t="str">
        <f>IF(AG1="","",$I$2)</f>
        <v/>
      </c>
      <c r="AH2" s="276" t="str">
        <f>IF(AH1="","",$J$2)</f>
        <v/>
      </c>
      <c r="AI2" s="276" t="str">
        <f>IF(AI1="","",$I$2)</f>
        <v/>
      </c>
      <c r="AJ2" s="276" t="str">
        <f>IF(AJ1="","",$J$2)</f>
        <v/>
      </c>
      <c r="AK2" s="276" t="str">
        <f>IF(AK1="","",$I$2)</f>
        <v/>
      </c>
      <c r="AL2" s="276" t="str">
        <f>IF(AL1="","",$J$2)</f>
        <v/>
      </c>
      <c r="AM2" s="276" t="str">
        <f>IF(AM1="","",$I$2)</f>
        <v/>
      </c>
      <c r="AN2" s="276" t="str">
        <f>IF(AN1="","",$J$2)</f>
        <v/>
      </c>
      <c r="AO2" s="276" t="str">
        <f>IF(AO1="","",$I$2)</f>
        <v/>
      </c>
      <c r="AP2" s="276" t="str">
        <f>IF(AP1="","",$J$2)</f>
        <v/>
      </c>
      <c r="AQ2" s="276" t="str">
        <f>IF(AQ1="","",$I$2)</f>
        <v/>
      </c>
      <c r="AR2" s="276" t="str">
        <f>IF(AR1="","",$J$2)</f>
        <v/>
      </c>
      <c r="AS2" s="276" t="str">
        <f>IF(AS1="","",$I$2)</f>
        <v/>
      </c>
      <c r="AT2" s="276" t="str">
        <f>IF(AT1="","",$J$2)</f>
        <v/>
      </c>
      <c r="AU2" s="276" t="str">
        <f>IF(AU1="","",$I$2)</f>
        <v/>
      </c>
      <c r="AV2" s="276" t="str">
        <f>IF(AV1="","",$J$2)</f>
        <v/>
      </c>
      <c r="AW2" s="276" t="str">
        <f>IF(AW1="","",$I$2)</f>
        <v/>
      </c>
      <c r="AX2" s="276" t="str">
        <f>IF(AX1="","",$J$2)</f>
        <v/>
      </c>
      <c r="AY2" s="276" t="str">
        <f>IF(AY1="","",$I$2)</f>
        <v/>
      </c>
      <c r="AZ2" s="276" t="str">
        <f>IF(AZ1="","",$J$2)</f>
        <v/>
      </c>
      <c r="BA2" s="276" t="str">
        <f>IF(BA1="","",$I$2)</f>
        <v/>
      </c>
      <c r="BB2" s="276" t="str">
        <f>IF(BB1="","",$J$2)</f>
        <v/>
      </c>
      <c r="BC2" s="276" t="str">
        <f>IF(BC1="","",$I$2)</f>
        <v/>
      </c>
      <c r="BD2" s="276" t="str">
        <f>IF(BD1="","",$J$2)</f>
        <v/>
      </c>
      <c r="BE2" s="276" t="str">
        <f>IF(BE1="","",$I$2)</f>
        <v/>
      </c>
      <c r="BF2" s="276" t="str">
        <f>IF(BF1="","",$J$2)</f>
        <v/>
      </c>
      <c r="BG2" s="276" t="str">
        <f>IF(BG1="","",$I$2)</f>
        <v/>
      </c>
      <c r="BH2" s="276" t="str">
        <f>IF(BH1="","",$J$2)</f>
        <v/>
      </c>
      <c r="BI2" s="276" t="str">
        <f>IF(BI1="","",$I$2)</f>
        <v/>
      </c>
      <c r="BJ2" s="276" t="str">
        <f>IF(BJ1="","",$J$2)</f>
        <v/>
      </c>
      <c r="BK2" s="276" t="str">
        <f>IF(BK1="","",$I$2)</f>
        <v/>
      </c>
      <c r="BL2" s="276" t="str">
        <f>IF(BL1="","",$J$2)</f>
        <v/>
      </c>
      <c r="BM2" s="276" t="str">
        <f>IF(BM1="","",$I$2)</f>
        <v/>
      </c>
      <c r="BN2" s="276" t="str">
        <f>IF(BN1="","",$J$2)</f>
        <v/>
      </c>
      <c r="BO2" s="276" t="str">
        <f>IF(BO1="","",$I$2)</f>
        <v/>
      </c>
      <c r="BP2" s="276" t="str">
        <f>IF(BP1="","",$J$2)</f>
        <v/>
      </c>
      <c r="BQ2" s="276" t="str">
        <f>IF(BQ1="","",$I$2)</f>
        <v/>
      </c>
      <c r="BR2" s="276" t="str">
        <f>IF(BR1="","",$J$2)</f>
        <v/>
      </c>
      <c r="BS2" s="276" t="str">
        <f>IF(BS1="","",$I$2)</f>
        <v/>
      </c>
      <c r="BT2" s="276" t="str">
        <f>IF(BT1="","",$J$2)</f>
        <v/>
      </c>
      <c r="BU2" s="276" t="str">
        <f>IF(BU1="","",$I$2)</f>
        <v/>
      </c>
      <c r="BV2" s="276" t="str">
        <f>IF(BV1="","",$J$2)</f>
        <v/>
      </c>
      <c r="BW2" s="276" t="str">
        <f>IF(BW1="","",$I$2)</f>
        <v/>
      </c>
      <c r="BX2" s="276" t="str">
        <f>IF(BX1="","",$J$2)</f>
        <v/>
      </c>
      <c r="BY2" s="276" t="str">
        <f>IF(BY1="","",$I$2)</f>
        <v/>
      </c>
      <c r="BZ2" s="276" t="str">
        <f>IF(BZ1="","",$J$2)</f>
        <v/>
      </c>
      <c r="CA2" s="276" t="str">
        <f>IF(CA1="","",$I$2)</f>
        <v/>
      </c>
      <c r="CB2" s="276" t="str">
        <f>IF(CB1="","",$J$2)</f>
        <v/>
      </c>
      <c r="CC2" s="276" t="str">
        <f>IF(CC1="","",$I$2)</f>
        <v/>
      </c>
      <c r="CD2" s="276" t="str">
        <f>IF(CD1="","",$J$2)</f>
        <v/>
      </c>
      <c r="CE2" s="276" t="str">
        <f>IF(CE1="","",$I$2)</f>
        <v/>
      </c>
      <c r="CF2" s="276" t="str">
        <f>IF(CF1="","",$J$2)</f>
        <v/>
      </c>
      <c r="CG2" s="276" t="str">
        <f>IF(CG1="","",$I$2)</f>
        <v/>
      </c>
      <c r="CH2" s="276" t="str">
        <f>IF(CH1="","",$J$2)</f>
        <v/>
      </c>
      <c r="CI2" s="276" t="str">
        <f>IF(CI1="","",$I$2)</f>
        <v/>
      </c>
      <c r="CJ2" s="276" t="str">
        <f>IF(CJ1="","",$J$2)</f>
        <v/>
      </c>
      <c r="CK2" s="276" t="str">
        <f>IF(CK1="","",$I$2)</f>
        <v/>
      </c>
      <c r="CL2" s="276" t="str">
        <f>IF(CL1="","",$J$2)</f>
        <v/>
      </c>
      <c r="CM2" s="276" t="str">
        <f>IF(CM1="","",$I$2)</f>
        <v/>
      </c>
      <c r="CN2" s="276" t="str">
        <f>IF(CN1="","",$J$2)</f>
        <v/>
      </c>
      <c r="CO2" s="276" t="str">
        <f>IF(CO1="","",$I$2)</f>
        <v/>
      </c>
      <c r="CP2" s="276" t="str">
        <f>IF(CP1="","",$J$2)</f>
        <v/>
      </c>
      <c r="CQ2" s="276" t="str">
        <f>IF(CQ1="","",$I$2)</f>
        <v/>
      </c>
      <c r="CR2" s="276" t="str">
        <f>IF(CR1="","",$J$2)</f>
        <v/>
      </c>
      <c r="CS2" s="276" t="str">
        <f>IF(CS1="","",$I$2)</f>
        <v/>
      </c>
      <c r="CT2" s="276" t="str">
        <f>IF(CT1="","",$J$2)</f>
        <v/>
      </c>
      <c r="CU2" s="276" t="str">
        <f>IF(CU1="","",$I$2)</f>
        <v/>
      </c>
      <c r="CV2" s="276" t="str">
        <f>IF(CV1="","",$J$2)</f>
        <v/>
      </c>
      <c r="CW2" s="276" t="str">
        <f>IF(CW1="","",$I$2)</f>
        <v/>
      </c>
      <c r="CX2" s="276" t="str">
        <f>IF(CX1="","",$J$2)</f>
        <v/>
      </c>
      <c r="CY2" s="276" t="str">
        <f>IF(CY1="","",$I$2)</f>
        <v/>
      </c>
      <c r="CZ2" s="276" t="str">
        <f>IF(CZ1="","",$J$2)</f>
        <v/>
      </c>
    </row>
    <row r="3" spans="1:104" ht="27" customHeight="1">
      <c r="B3" s="46" t="s">
        <v>72</v>
      </c>
      <c r="C3" s="56">
        <v>1.0807532223588453E-2</v>
      </c>
      <c r="D3" s="56">
        <v>1.0958984660822834E-2</v>
      </c>
      <c r="E3" s="56" t="s">
        <v>73</v>
      </c>
      <c r="F3" s="56" t="s">
        <v>74</v>
      </c>
      <c r="G3" s="57" t="s">
        <v>75</v>
      </c>
      <c r="H3" s="56" t="s">
        <v>76</v>
      </c>
      <c r="I3" s="58">
        <v>81.896000000000001</v>
      </c>
      <c r="J3" s="58">
        <v>17.422999999999998</v>
      </c>
      <c r="K3" s="198">
        <v>81.896000000000001</v>
      </c>
      <c r="L3" s="199">
        <v>17.422999999999998</v>
      </c>
      <c r="M3" s="198">
        <v>81.896000000000001</v>
      </c>
      <c r="N3" s="199">
        <v>17.422999999999998</v>
      </c>
      <c r="O3" s="198"/>
      <c r="P3" s="199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</row>
    <row r="4" spans="1:104">
      <c r="B4" s="46" t="s">
        <v>77</v>
      </c>
      <c r="C4" s="56">
        <v>1.688727651795521E-2</v>
      </c>
      <c r="D4" s="56">
        <v>1.7123928061895371E-2</v>
      </c>
      <c r="E4" s="56" t="s">
        <v>78</v>
      </c>
      <c r="F4" s="56" t="s">
        <v>79</v>
      </c>
      <c r="G4" s="57" t="s">
        <v>75</v>
      </c>
      <c r="H4" s="56" t="s">
        <v>76</v>
      </c>
      <c r="I4" s="58">
        <v>76.195999999999998</v>
      </c>
      <c r="J4" s="58">
        <v>17.422999999999998</v>
      </c>
      <c r="K4" s="198">
        <v>76.195999999999998</v>
      </c>
      <c r="L4" s="199">
        <v>17.422999999999998</v>
      </c>
      <c r="M4" s="198">
        <v>76.195999999999998</v>
      </c>
      <c r="N4" s="199">
        <v>17.422999999999998</v>
      </c>
      <c r="O4" s="198"/>
      <c r="P4" s="199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</row>
    <row r="5" spans="1:104">
      <c r="B5" s="46" t="s">
        <v>80</v>
      </c>
      <c r="C5" s="56">
        <v>3.2687712963457995E-2</v>
      </c>
      <c r="D5" s="56">
        <v>3.3145785508930339E-2</v>
      </c>
      <c r="E5" s="56" t="s">
        <v>80</v>
      </c>
      <c r="F5" s="56" t="s">
        <v>81</v>
      </c>
      <c r="G5" s="57" t="s">
        <v>75</v>
      </c>
      <c r="H5" s="56" t="s">
        <v>76</v>
      </c>
      <c r="I5" s="58">
        <v>78.866</v>
      </c>
      <c r="J5" s="58">
        <v>17.422999999999998</v>
      </c>
      <c r="K5" s="198">
        <v>78.866</v>
      </c>
      <c r="L5" s="199">
        <v>17.422999999999998</v>
      </c>
      <c r="M5" s="198">
        <v>78.866</v>
      </c>
      <c r="N5" s="199">
        <v>17.422999999999998</v>
      </c>
      <c r="O5" s="198"/>
      <c r="P5" s="199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4"/>
      <c r="BU5" s="214"/>
      <c r="BV5" s="214"/>
      <c r="BW5" s="214"/>
      <c r="BX5" s="214"/>
      <c r="BY5" s="214"/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</row>
    <row r="6" spans="1:104">
      <c r="B6" s="46" t="s">
        <v>82</v>
      </c>
      <c r="C6" s="56">
        <v>1.5111127921485936E-2</v>
      </c>
      <c r="D6" s="56">
        <v>1.5322889228852147E-2</v>
      </c>
      <c r="E6" s="56" t="s">
        <v>83</v>
      </c>
      <c r="F6" s="56" t="s">
        <v>84</v>
      </c>
      <c r="G6" s="57" t="s">
        <v>85</v>
      </c>
      <c r="H6" s="56" t="s">
        <v>76</v>
      </c>
      <c r="I6" s="58">
        <v>83.388999999999996</v>
      </c>
      <c r="J6" s="58">
        <v>24.204999999999998</v>
      </c>
      <c r="K6" s="198">
        <v>83.388999999999996</v>
      </c>
      <c r="L6" s="199">
        <v>24.204999999999998</v>
      </c>
      <c r="M6" s="198">
        <v>83.388999999999996</v>
      </c>
      <c r="N6" s="199">
        <v>24.204999999999998</v>
      </c>
      <c r="O6" s="198"/>
      <c r="P6" s="199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/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/>
      <c r="CS6" s="214"/>
      <c r="CT6" s="214"/>
      <c r="CU6" s="214"/>
      <c r="CV6" s="214"/>
      <c r="CW6" s="214"/>
      <c r="CX6" s="214"/>
      <c r="CY6" s="214"/>
      <c r="CZ6" s="214"/>
    </row>
    <row r="7" spans="1:104">
      <c r="B7" s="46" t="s">
        <v>86</v>
      </c>
      <c r="C7" s="56">
        <v>4.185768759384844E-2</v>
      </c>
      <c r="D7" s="56">
        <v>4.2444264498911664E-2</v>
      </c>
      <c r="E7" s="56" t="s">
        <v>86</v>
      </c>
      <c r="F7" s="56" t="s">
        <v>87</v>
      </c>
      <c r="G7" s="57" t="s">
        <v>88</v>
      </c>
      <c r="H7" s="56" t="s">
        <v>76</v>
      </c>
      <c r="I7" s="58">
        <v>88.412999999999997</v>
      </c>
      <c r="J7" s="58">
        <v>24.204999999999998</v>
      </c>
      <c r="K7" s="198">
        <v>88.412999999999997</v>
      </c>
      <c r="L7" s="199">
        <v>24.204999999999998</v>
      </c>
      <c r="M7" s="198">
        <v>88.412999999999997</v>
      </c>
      <c r="N7" s="199">
        <v>24.204999999999998</v>
      </c>
      <c r="O7" s="198"/>
      <c r="P7" s="199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</row>
    <row r="8" spans="1:104">
      <c r="B8" s="46" t="s">
        <v>89</v>
      </c>
      <c r="C8" s="56">
        <v>0.45094597159771682</v>
      </c>
      <c r="D8" s="56">
        <v>0.45726534821825887</v>
      </c>
      <c r="E8" s="56" t="s">
        <v>90</v>
      </c>
      <c r="F8" s="56" t="s">
        <v>91</v>
      </c>
      <c r="G8" s="57" t="s">
        <v>92</v>
      </c>
      <c r="H8" s="56" t="s">
        <v>93</v>
      </c>
      <c r="I8" s="58">
        <v>75.867999999999995</v>
      </c>
      <c r="J8" s="58">
        <v>12.784000000000001</v>
      </c>
      <c r="K8" s="198">
        <v>75.867999999999995</v>
      </c>
      <c r="L8" s="199">
        <v>12.784000000000001</v>
      </c>
      <c r="M8" s="198">
        <v>75.867999999999995</v>
      </c>
      <c r="N8" s="199">
        <v>12.784000000000001</v>
      </c>
      <c r="O8" s="198"/>
      <c r="P8" s="199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</row>
    <row r="9" spans="1:104">
      <c r="B9" s="46" t="s">
        <v>94</v>
      </c>
      <c r="C9" s="56">
        <v>0.10127117120535854</v>
      </c>
      <c r="D9" s="56">
        <v>0.102690344924513</v>
      </c>
      <c r="E9" s="56" t="s">
        <v>94</v>
      </c>
      <c r="F9" s="56" t="s">
        <v>95</v>
      </c>
      <c r="G9" s="57" t="s">
        <v>96</v>
      </c>
      <c r="H9" s="56" t="s">
        <v>97</v>
      </c>
      <c r="I9" s="58">
        <v>89.156000000000006</v>
      </c>
      <c r="J9" s="58">
        <v>19.154</v>
      </c>
      <c r="K9" s="198">
        <v>89.156000000000006</v>
      </c>
      <c r="L9" s="198">
        <v>19.154</v>
      </c>
      <c r="M9" s="198">
        <v>89.156000000000006</v>
      </c>
      <c r="N9" s="198">
        <v>19.154</v>
      </c>
      <c r="O9" s="198"/>
      <c r="P9" s="198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</row>
    <row r="10" spans="1:104">
      <c r="B10" s="46" t="s">
        <v>98</v>
      </c>
      <c r="C10" s="56">
        <v>6.3750798958458296E-2</v>
      </c>
      <c r="D10" s="56">
        <v>6.4644177176366738E-2</v>
      </c>
      <c r="E10" s="56" t="s">
        <v>99</v>
      </c>
      <c r="F10" s="56" t="s">
        <v>100</v>
      </c>
      <c r="G10" s="57" t="s">
        <v>101</v>
      </c>
      <c r="H10" s="56" t="s">
        <v>76</v>
      </c>
      <c r="I10" s="58">
        <v>86.938000000000002</v>
      </c>
      <c r="J10" s="58">
        <v>20.274000000000001</v>
      </c>
      <c r="K10" s="198">
        <v>86.938000000000002</v>
      </c>
      <c r="L10" s="199">
        <v>20.274000000000001</v>
      </c>
      <c r="M10" s="198">
        <v>86.938000000000002</v>
      </c>
      <c r="N10" s="199">
        <v>20.274000000000001</v>
      </c>
      <c r="O10" s="198"/>
      <c r="P10" s="199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</row>
    <row r="11" spans="1:104">
      <c r="B11" s="46" t="s">
        <v>102</v>
      </c>
      <c r="C11" s="56">
        <v>6.3195284312121833E-2</v>
      </c>
      <c r="D11" s="56">
        <v>6.4080877769793945E-2</v>
      </c>
      <c r="E11" s="56" t="s">
        <v>103</v>
      </c>
      <c r="F11" s="56" t="s">
        <v>100</v>
      </c>
      <c r="G11" s="57" t="s">
        <v>104</v>
      </c>
      <c r="H11" s="56" t="s">
        <v>76</v>
      </c>
      <c r="I11" s="58">
        <v>86.944999999999993</v>
      </c>
      <c r="J11" s="58">
        <v>20.274000000000001</v>
      </c>
      <c r="K11" s="198">
        <v>86.944999999999993</v>
      </c>
      <c r="L11" s="199">
        <v>20.274000000000001</v>
      </c>
      <c r="M11" s="198">
        <v>86.944999999999993</v>
      </c>
      <c r="N11" s="199">
        <v>20.274000000000001</v>
      </c>
      <c r="O11" s="198"/>
      <c r="P11" s="199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</row>
    <row r="12" spans="1:104">
      <c r="B12" s="46" t="s">
        <v>105</v>
      </c>
      <c r="C12" s="56">
        <v>9.6464448760670993E-2</v>
      </c>
      <c r="D12" s="56">
        <v>9.7816262992544145E-2</v>
      </c>
      <c r="E12" s="56" t="s">
        <v>106</v>
      </c>
      <c r="F12" s="56" t="s">
        <v>100</v>
      </c>
      <c r="G12" s="57" t="s">
        <v>107</v>
      </c>
      <c r="H12" s="56" t="s">
        <v>76</v>
      </c>
      <c r="I12" s="58">
        <v>86.936999999999998</v>
      </c>
      <c r="J12" s="58">
        <v>20.274000000000001</v>
      </c>
      <c r="K12" s="198">
        <v>86.936999999999998</v>
      </c>
      <c r="L12" s="199">
        <v>20.274000000000001</v>
      </c>
      <c r="M12" s="198">
        <v>86.936999999999998</v>
      </c>
      <c r="N12" s="199">
        <v>20.274000000000001</v>
      </c>
      <c r="O12" s="198"/>
      <c r="P12" s="199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214"/>
      <c r="CK12" s="214"/>
      <c r="CL12" s="214"/>
      <c r="CM12" s="214"/>
      <c r="CN12" s="214"/>
      <c r="CO12" s="214"/>
      <c r="CP12" s="214"/>
      <c r="CQ12" s="214"/>
      <c r="CR12" s="214"/>
      <c r="CS12" s="214"/>
      <c r="CT12" s="214"/>
      <c r="CU12" s="214"/>
      <c r="CV12" s="214"/>
      <c r="CW12" s="214"/>
      <c r="CX12" s="214"/>
      <c r="CY12" s="214"/>
      <c r="CZ12" s="214"/>
    </row>
    <row r="13" spans="1:104">
      <c r="B13" s="46" t="s">
        <v>108</v>
      </c>
      <c r="C13" s="56">
        <v>4.2734128235910676E-2</v>
      </c>
      <c r="D13" s="56">
        <v>4.33329872298528E-2</v>
      </c>
      <c r="E13" s="56" t="s">
        <v>109</v>
      </c>
      <c r="F13" s="56" t="s">
        <v>100</v>
      </c>
      <c r="G13" s="57" t="s">
        <v>110</v>
      </c>
      <c r="H13" s="56" t="s">
        <v>76</v>
      </c>
      <c r="I13" s="58">
        <v>86.944999999999993</v>
      </c>
      <c r="J13" s="58">
        <v>20.274000000000001</v>
      </c>
      <c r="K13" s="198">
        <v>86.944999999999993</v>
      </c>
      <c r="L13" s="199">
        <v>20.274000000000001</v>
      </c>
      <c r="M13" s="198">
        <v>86.944999999999993</v>
      </c>
      <c r="N13" s="199">
        <v>20.274000000000001</v>
      </c>
      <c r="O13" s="198"/>
      <c r="P13" s="199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/>
      <c r="CP13" s="214"/>
      <c r="CQ13" s="214"/>
      <c r="CR13" s="214"/>
      <c r="CS13" s="214"/>
      <c r="CT13" s="214"/>
      <c r="CU13" s="214"/>
      <c r="CV13" s="214"/>
      <c r="CW13" s="214"/>
      <c r="CX13" s="214"/>
      <c r="CY13" s="214"/>
      <c r="CZ13" s="214"/>
    </row>
    <row r="14" spans="1:104">
      <c r="B14" s="46" t="s">
        <v>111</v>
      </c>
      <c r="C14" s="56">
        <v>1.6048049889753623E-2</v>
      </c>
      <c r="D14" s="56">
        <v>1.6272940847132152E-2</v>
      </c>
      <c r="E14" s="56" t="s">
        <v>112</v>
      </c>
      <c r="F14" s="56" t="s">
        <v>113</v>
      </c>
      <c r="G14" s="57" t="s">
        <v>114</v>
      </c>
      <c r="H14" s="56" t="s">
        <v>115</v>
      </c>
      <c r="I14" s="58">
        <v>80.908000000000001</v>
      </c>
      <c r="J14" s="58">
        <v>20.379000000000001</v>
      </c>
      <c r="K14" s="198">
        <v>80.908000000000001</v>
      </c>
      <c r="L14" s="199">
        <v>20.379000000000001</v>
      </c>
      <c r="M14" s="198">
        <v>80.908000000000001</v>
      </c>
      <c r="N14" s="199">
        <v>20.379000000000001</v>
      </c>
      <c r="O14" s="198"/>
      <c r="P14" s="199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4"/>
      <c r="CW14" s="214"/>
      <c r="CX14" s="214"/>
      <c r="CY14" s="214"/>
      <c r="CZ14" s="214"/>
    </row>
    <row r="15" spans="1:104">
      <c r="B15" s="46" t="s">
        <v>116</v>
      </c>
      <c r="C15" s="56">
        <v>3.441887650269311E-2</v>
      </c>
      <c r="D15" s="56">
        <v>3.4901208882126084E-2</v>
      </c>
      <c r="E15" s="56" t="s">
        <v>117</v>
      </c>
      <c r="F15" s="56" t="s">
        <v>113</v>
      </c>
      <c r="G15" s="57" t="s">
        <v>114</v>
      </c>
      <c r="H15" s="56" t="s">
        <v>115</v>
      </c>
      <c r="I15" s="58">
        <v>80.882999999999996</v>
      </c>
      <c r="J15" s="58">
        <v>20.379000000000001</v>
      </c>
      <c r="K15" s="198">
        <v>80.882999999999996</v>
      </c>
      <c r="L15" s="199">
        <v>20.379000000000001</v>
      </c>
      <c r="M15" s="198">
        <v>80.882999999999996</v>
      </c>
      <c r="N15" s="199">
        <v>20.379000000000001</v>
      </c>
      <c r="O15" s="198"/>
      <c r="P15" s="199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</row>
    <row r="16" spans="1:104" ht="24">
      <c r="B16" s="46" t="s">
        <v>118</v>
      </c>
      <c r="C16" s="56">
        <v>4.1703040049389508E-3</v>
      </c>
      <c r="D16" s="56" t="s">
        <v>119</v>
      </c>
      <c r="E16" s="56" t="s">
        <v>120</v>
      </c>
      <c r="F16" s="56" t="s">
        <v>121</v>
      </c>
      <c r="G16" s="57" t="s">
        <v>122</v>
      </c>
      <c r="H16" s="56" t="s">
        <v>123</v>
      </c>
      <c r="I16" s="58">
        <v>89.284999999999997</v>
      </c>
      <c r="J16" s="58">
        <v>0</v>
      </c>
      <c r="K16" s="199">
        <v>89.284999999999997</v>
      </c>
      <c r="L16" s="199">
        <v>0</v>
      </c>
      <c r="M16" s="199">
        <v>89.284999999999997</v>
      </c>
      <c r="N16" s="199">
        <v>0</v>
      </c>
      <c r="O16" s="199"/>
      <c r="P16" s="199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4"/>
      <c r="CW16" s="214"/>
      <c r="CX16" s="214"/>
      <c r="CY16" s="214"/>
      <c r="CZ16" s="214"/>
    </row>
    <row r="17" spans="2:104" ht="24">
      <c r="B17" s="46" t="s">
        <v>124</v>
      </c>
      <c r="C17" s="56">
        <v>9.6496293120413457E-3</v>
      </c>
      <c r="D17" s="56" t="s">
        <v>119</v>
      </c>
      <c r="E17" s="56" t="s">
        <v>125</v>
      </c>
      <c r="F17" s="56" t="s">
        <v>126</v>
      </c>
      <c r="G17" s="57" t="s">
        <v>122</v>
      </c>
      <c r="H17" s="56" t="s">
        <v>127</v>
      </c>
      <c r="I17" s="58">
        <v>70.043000000000006</v>
      </c>
      <c r="J17" s="58">
        <v>0</v>
      </c>
      <c r="K17" s="199">
        <v>70.043000000000006</v>
      </c>
      <c r="L17" s="199">
        <v>0</v>
      </c>
      <c r="M17" s="199">
        <v>70.043000000000006</v>
      </c>
      <c r="N17" s="199">
        <v>0</v>
      </c>
      <c r="O17" s="199"/>
      <c r="P17" s="199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</row>
    <row r="18" spans="2:104" ht="30.75" customHeight="1">
      <c r="B18" s="46" t="s">
        <v>128</v>
      </c>
      <c r="C18" s="56" t="s">
        <v>119</v>
      </c>
      <c r="D18" s="56" t="s">
        <v>119</v>
      </c>
      <c r="E18" s="57" t="s">
        <v>129</v>
      </c>
      <c r="F18" s="57" t="s">
        <v>113</v>
      </c>
      <c r="G18" s="57" t="s">
        <v>122</v>
      </c>
      <c r="H18" s="56" t="s">
        <v>115</v>
      </c>
      <c r="I18" s="58">
        <v>78.798000000000002</v>
      </c>
      <c r="J18" s="58">
        <v>0</v>
      </c>
      <c r="K18" s="199">
        <v>78.798000000000002</v>
      </c>
      <c r="L18" s="199">
        <v>0</v>
      </c>
      <c r="M18" s="199">
        <v>78.798000000000002</v>
      </c>
      <c r="N18" s="199">
        <v>0</v>
      </c>
      <c r="O18" s="199"/>
      <c r="P18" s="199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</row>
    <row r="19" spans="2:104">
      <c r="G19" s="55"/>
      <c r="I19" s="54"/>
      <c r="J19" s="54"/>
    </row>
  </sheetData>
  <sheetProtection algorithmName="SHA-512" hashValue="UXzbF9jcxiqWcH1JVljghA2BZ9g8afA0HPNlsTjVXG50qXfMJTTrnDUASrliiDDlVGupx/LyKksAZviq7PCvqg==" saltValue="PWjkamBMi0Rha44lCf3Veg==" spinCount="100000" sheet="1" objects="1" scenarios="1" formatCells="0" formatColumns="0" formatRows="0"/>
  <mergeCells count="8">
    <mergeCell ref="F1:F2"/>
    <mergeCell ref="G1:G2"/>
    <mergeCell ref="H1:H2"/>
    <mergeCell ref="B1:B2"/>
    <mergeCell ref="A1:A2"/>
    <mergeCell ref="C1:C2"/>
    <mergeCell ref="D1:D2"/>
    <mergeCell ref="E1:E2"/>
  </mergeCells>
  <dataValidations count="2">
    <dataValidation allowBlank="1" showInputMessage="1" showErrorMessage="1" prompt="Celda se actualiza sola al ingresar fecha en pestaña &quot;Mes Año Costo de Falla&quot;." sqref="K2:CZ2" xr:uid="{E374F1D4-3D0F-4712-9762-8B4840EC9B78}"/>
    <dataValidation allowBlank="1" showInputMessage="1" showErrorMessage="1" prompt="Celda se actualiza sola al ingresar fecha en pestaña &quot;Mes Año Costo de Falla." sqref="K1:CZ1" xr:uid="{1AAEE06F-946B-4F49-B5D5-AB5934471E7C}"/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61E9-372C-43AA-A095-2E7449DCB3E8}">
  <sheetPr>
    <tabColor theme="9" tint="0.59999389629810485"/>
  </sheetPr>
  <dimension ref="A1:CZ19"/>
  <sheetViews>
    <sheetView showGridLines="0" zoomScale="90" zoomScaleNormal="90" workbookViewId="0">
      <pane xSplit="5" ySplit="2" topLeftCell="I3" activePane="bottomRight" state="frozen"/>
      <selection pane="bottomRight" activeCell="P9" sqref="P9"/>
      <selection pane="bottomLeft" activeCell="A3" sqref="A3"/>
      <selection pane="topRight" activeCell="F1" sqref="F1"/>
    </sheetView>
  </sheetViews>
  <sheetFormatPr defaultColWidth="11.42578125" defaultRowHeight="14.45"/>
  <cols>
    <col min="1" max="1" width="3.7109375" style="189" customWidth="1"/>
    <col min="2" max="2" width="14.140625" style="189" customWidth="1"/>
    <col min="3" max="3" width="10.140625" style="189" bestFit="1" customWidth="1"/>
    <col min="4" max="5" width="11.42578125" style="189"/>
    <col min="6" max="6" width="12.28515625" style="189" customWidth="1"/>
    <col min="7" max="7" width="11.42578125" style="189"/>
    <col min="8" max="8" width="79" style="189" bestFit="1" customWidth="1"/>
    <col min="9" max="9" width="13.5703125" style="3" customWidth="1"/>
    <col min="10" max="10" width="13.42578125" style="3" customWidth="1"/>
    <col min="11" max="12" width="11.42578125" style="3"/>
    <col min="13" max="16384" width="11.42578125" style="188"/>
  </cols>
  <sheetData>
    <row r="1" spans="2:104" s="189" customFormat="1" ht="25.5" customHeight="1">
      <c r="B1" s="348"/>
      <c r="C1" s="348" t="s">
        <v>64</v>
      </c>
      <c r="D1" s="348" t="s">
        <v>65</v>
      </c>
      <c r="E1" s="348" t="s">
        <v>66</v>
      </c>
      <c r="F1" s="348" t="s">
        <v>67</v>
      </c>
      <c r="G1" s="348" t="s">
        <v>68</v>
      </c>
      <c r="H1" s="346" t="s">
        <v>69</v>
      </c>
      <c r="I1" s="200">
        <v>43800</v>
      </c>
      <c r="J1" s="200">
        <v>43800</v>
      </c>
      <c r="K1" s="201">
        <f>IF(INDEX('Select Index Min, Indust y Serv'!$H$1:$XFD$1,2)="","",INDEX('Select Index Min, Indust y Serv'!$H$1:$XFD$1,2))</f>
        <v>44013</v>
      </c>
      <c r="L1" s="201">
        <f>IF(INDEX('Select Index Min, Indust y Serv'!$H$1:$XFD$1,2)="","",INDEX('Select Index Min, Indust y Serv'!$H$1:$XFD$1,2))</f>
        <v>44013</v>
      </c>
      <c r="M1" s="201">
        <f>IF(INDEX('Select Index Min, Indust y Serv'!$H$1:$XFD$1,3)="","",INDEX('Select Index Min, Indust y Serv'!$H$1:$XFD$1,3))</f>
        <v>44166</v>
      </c>
      <c r="N1" s="201">
        <f>IF(INDEX('Select Index Min, Indust y Serv'!$H$1:$XFD$1,3)="","",INDEX('Select Index Min, Indust y Serv'!$H$1:$XFD$1,3))</f>
        <v>44166</v>
      </c>
      <c r="O1" s="201" t="str">
        <f>IF(INDEX('Select Index Min, Indust y Serv'!$H$1:$XFD$1,4)="","",INDEX('Select Index Min, Indust y Serv'!$H$1:$XFD$1,4))</f>
        <v/>
      </c>
      <c r="P1" s="201" t="str">
        <f>IF(INDEX('Select Index Min, Indust y Serv'!$H$1:$XFD$1,4)="","",INDEX('Select Index Min, Indust y Serv'!$H$1:$XFD$1,4))</f>
        <v/>
      </c>
      <c r="Q1" s="201" t="str">
        <f>IF(INDEX('Select Index Min, Indust y Serv'!$H$1:$XFD$1,5)="","",INDEX('Select Index Min, Indust y Serv'!$H$1:$XFD$1,5))</f>
        <v/>
      </c>
      <c r="R1" s="201" t="str">
        <f>IF(INDEX('Select Index Min, Indust y Serv'!$H$1:$XFD$1,5)="","",INDEX('Select Index Min, Indust y Serv'!$H$1:$XFD$1,5))</f>
        <v/>
      </c>
      <c r="S1" s="201" t="str">
        <f>IF(INDEX('Select Index Min, Indust y Serv'!$H$1:$XFD$1,6)="","",INDEX('Select Index Min, Indust y Serv'!$H$1:$XFD$1,6))</f>
        <v/>
      </c>
      <c r="T1" s="201" t="str">
        <f>IF(INDEX('Select Index Min, Indust y Serv'!$H$1:$XFD$1,6)="","",INDEX('Select Index Min, Indust y Serv'!$H$1:$XFD$1,6))</f>
        <v/>
      </c>
      <c r="U1" s="201" t="str">
        <f>IF(INDEX('Select Index Min, Indust y Serv'!$H$1:$XFD$1,7)="","",INDEX('Select Index Min, Indust y Serv'!$H$1:$XFD$1,7))</f>
        <v/>
      </c>
      <c r="V1" s="201" t="str">
        <f>IF(INDEX('Select Index Min, Indust y Serv'!$H$1:$XFD$1,7)="","",INDEX('Select Index Min, Indust y Serv'!$H$1:$XFD$1,7))</f>
        <v/>
      </c>
      <c r="W1" s="201" t="str">
        <f>IF(INDEX('Select Index Min, Indust y Serv'!$H$1:$XFD$1,8)="","",INDEX('Select Index Min, Indust y Serv'!$H$1:$XFD$1,8))</f>
        <v/>
      </c>
      <c r="X1" s="201" t="str">
        <f>IF(INDEX('Select Index Min, Indust y Serv'!$H$1:$XFD$1,8)="","",INDEX('Select Index Min, Indust y Serv'!$H$1:$XFD$1,8))</f>
        <v/>
      </c>
      <c r="Y1" s="201" t="str">
        <f>IF(INDEX('Select Index Min, Indust y Serv'!$H$1:$XFD$1,9)="","",INDEX('Select Index Min, Indust y Serv'!$H$1:$XFD$1,9))</f>
        <v/>
      </c>
      <c r="Z1" s="201" t="str">
        <f>IF(INDEX('Select Index Min, Indust y Serv'!$H$1:$XFD$1,9)="","",INDEX('Select Index Min, Indust y Serv'!$H$1:$XFD$1,9))</f>
        <v/>
      </c>
      <c r="AA1" s="201" t="str">
        <f>IF(INDEX('Select Index Min, Indust y Serv'!$H$1:$XFD$1,10)="","",INDEX('Select Index Min, Indust y Serv'!$H$1:$XFD$1,10))</f>
        <v/>
      </c>
      <c r="AB1" s="201" t="str">
        <f>IF(INDEX('Select Index Min, Indust y Serv'!$H$1:$XFD$1,10)="","",INDEX('Select Index Min, Indust y Serv'!$H$1:$XFD$1,10))</f>
        <v/>
      </c>
      <c r="AC1" s="201" t="str">
        <f>IF(INDEX('Select Index Min, Indust y Serv'!$H$1:$XFD$1,11)="","",INDEX('Select Index Min, Indust y Serv'!$H$1:$XFD$1,11))</f>
        <v/>
      </c>
      <c r="AD1" s="201" t="str">
        <f>IF(INDEX('Select Index Min, Indust y Serv'!$H$1:$XFD$1,11)="","",INDEX('Select Index Min, Indust y Serv'!$H$1:$XFD$1,11))</f>
        <v/>
      </c>
      <c r="AE1" s="201" t="str">
        <f>IF(INDEX('Select Index Min, Indust y Serv'!$H$1:$XFD$1,12)="","",INDEX('Select Index Min, Indust y Serv'!$H$1:$XFD$1,12))</f>
        <v/>
      </c>
      <c r="AF1" s="201" t="str">
        <f>IF(INDEX('Select Index Min, Indust y Serv'!$H$1:$XFD$1,12)="","",INDEX('Select Index Min, Indust y Serv'!$H$1:$XFD$1,12))</f>
        <v/>
      </c>
      <c r="AG1" s="201" t="str">
        <f>IF(INDEX('Select Index Min, Indust y Serv'!$H$1:$XFD$1,13)="","",INDEX('Select Index Min, Indust y Serv'!$H$1:$XFD$1,13))</f>
        <v/>
      </c>
      <c r="AH1" s="201" t="str">
        <f>IF(INDEX('Select Index Min, Indust y Serv'!$H$1:$XFD$1,13)="","",INDEX('Select Index Min, Indust y Serv'!$H$1:$XFD$1,13))</f>
        <v/>
      </c>
      <c r="AI1" s="201" t="str">
        <f>IF(INDEX('Select Index Min, Indust y Serv'!$H$1:$XFD$1,14)="","",INDEX('Select Index Min, Indust y Serv'!$H$1:$XFD$1,14))</f>
        <v/>
      </c>
      <c r="AJ1" s="201" t="str">
        <f>IF(INDEX('Select Index Min, Indust y Serv'!$H$1:$XFD$1,14)="","",INDEX('Select Index Min, Indust y Serv'!$H$1:$XFD$1,14))</f>
        <v/>
      </c>
      <c r="AK1" s="201" t="str">
        <f>IF(INDEX('Select Index Min, Indust y Serv'!$H$1:$XFD$1,15)="","",INDEX('Select Index Min, Indust y Serv'!$H$1:$XFD$1,15))</f>
        <v/>
      </c>
      <c r="AL1" s="201" t="str">
        <f>IF(INDEX('Select Index Min, Indust y Serv'!$H$1:$XFD$1,15)="","",INDEX('Select Index Min, Indust y Serv'!$H$1:$XFD$1,15))</f>
        <v/>
      </c>
      <c r="AM1" s="201" t="str">
        <f>IF(INDEX('Select Index Min, Indust y Serv'!$H$1:$XFD$1,16)="","",INDEX('Select Index Min, Indust y Serv'!$H$1:$XFD$1,16))</f>
        <v/>
      </c>
      <c r="AN1" s="201" t="str">
        <f>IF(INDEX('Select Index Min, Indust y Serv'!$H$1:$XFD$1,16)="","",INDEX('Select Index Min, Indust y Serv'!$H$1:$XFD$1,16))</f>
        <v/>
      </c>
      <c r="AO1" s="201" t="str">
        <f>IF(INDEX('Select Index Min, Indust y Serv'!$H$1:$XFD$1,17)="","",INDEX('Select Index Min, Indust y Serv'!$H$1:$XFD$1,17))</f>
        <v/>
      </c>
      <c r="AP1" s="201" t="str">
        <f>IF(INDEX('Select Index Min, Indust y Serv'!$H$1:$XFD$1,17)="","",INDEX('Select Index Min, Indust y Serv'!$H$1:$XFD$1,17))</f>
        <v/>
      </c>
      <c r="AQ1" s="201" t="str">
        <f>IF(INDEX('Select Index Min, Indust y Serv'!$H$1:$XFD$1,18)="","",INDEX('Select Index Min, Indust y Serv'!$H$1:$XFD$1,18))</f>
        <v/>
      </c>
      <c r="AR1" s="201" t="str">
        <f>IF(INDEX('Select Index Min, Indust y Serv'!$H$1:$XFD$1,18)="","",INDEX('Select Index Min, Indust y Serv'!$H$1:$XFD$1,18))</f>
        <v/>
      </c>
      <c r="AS1" s="201" t="str">
        <f>IF(INDEX('Select Index Min, Indust y Serv'!$H$1:$XFD$1,19)="","",INDEX('Select Index Min, Indust y Serv'!$H$1:$XFD$1,19))</f>
        <v/>
      </c>
      <c r="AT1" s="201" t="str">
        <f>IF(INDEX('Select Index Min, Indust y Serv'!$H$1:$XFD$1,19)="","",INDEX('Select Index Min, Indust y Serv'!$H$1:$XFD$1,19))</f>
        <v/>
      </c>
      <c r="AU1" s="201" t="str">
        <f>IF(INDEX('Select Index Min, Indust y Serv'!$H$1:$XFD$1,20)="","",INDEX('Select Index Min, Indust y Serv'!$H$1:$XFD$1,20))</f>
        <v/>
      </c>
      <c r="AV1" s="201" t="str">
        <f>IF(INDEX('Select Index Min, Indust y Serv'!$H$1:$XFD$1,20)="","",INDEX('Select Index Min, Indust y Serv'!$H$1:$XFD$1,20))</f>
        <v/>
      </c>
      <c r="AW1" s="201" t="str">
        <f>IF(INDEX('Select Index Min, Indust y Serv'!$H$1:$XFD$1,21)="","",INDEX('Select Index Min, Indust y Serv'!$H$1:$XFD$1,21))</f>
        <v/>
      </c>
      <c r="AX1" s="201" t="str">
        <f>IF(INDEX('Select Index Min, Indust y Serv'!$H$1:$XFD$1,21)="","",INDEX('Select Index Min, Indust y Serv'!$H$1:$XFD$1,21))</f>
        <v/>
      </c>
      <c r="AY1" s="201" t="str">
        <f>IF(INDEX('Select Index Min, Indust y Serv'!$H$1:$XFD$1,22)="","",INDEX('Select Index Min, Indust y Serv'!$H$1:$XFD$1,22))</f>
        <v/>
      </c>
      <c r="AZ1" s="201" t="str">
        <f>IF(INDEX('Select Index Min, Indust y Serv'!$H$1:$XFD$1,22)="","",INDEX('Select Index Min, Indust y Serv'!$H$1:$XFD$1,22))</f>
        <v/>
      </c>
      <c r="BA1" s="201" t="str">
        <f>IF(INDEX('Select Index Min, Indust y Serv'!$H$1:$XFD$1,23)="","",INDEX('Select Index Min, Indust y Serv'!$H$1:$XFD$1,23))</f>
        <v/>
      </c>
      <c r="BB1" s="201" t="str">
        <f>IF(INDEX('Select Index Min, Indust y Serv'!$H$1:$XFD$1,23)="","",INDEX('Select Index Min, Indust y Serv'!$H$1:$XFD$1,23))</f>
        <v/>
      </c>
      <c r="BC1" s="201" t="str">
        <f>IF(INDEX('Select Index Min, Indust y Serv'!$H$1:$XFD$1,24)="","",INDEX('Select Index Min, Indust y Serv'!$H$1:$XFD$1,24))</f>
        <v/>
      </c>
      <c r="BD1" s="201" t="str">
        <f>IF(INDEX('Select Index Min, Indust y Serv'!$H$1:$XFD$1,24)="","",INDEX('Select Index Min, Indust y Serv'!$H$1:$XFD$1,24))</f>
        <v/>
      </c>
      <c r="BE1" s="201" t="str">
        <f>IF(INDEX('Select Index Min, Indust y Serv'!$H$1:$XFD$1,25)="","",INDEX('Select Index Min, Indust y Serv'!$H$1:$XFD$1,25))</f>
        <v/>
      </c>
      <c r="BF1" s="201" t="str">
        <f>IF(INDEX('Select Index Min, Indust y Serv'!$H$1:$XFD$1,25)="","",INDEX('Select Index Min, Indust y Serv'!$H$1:$XFD$1,25))</f>
        <v/>
      </c>
      <c r="BG1" s="201" t="str">
        <f>IF(INDEX('Select Index Min, Indust y Serv'!$H$1:$XFD$1,26)="","",INDEX('Select Index Min, Indust y Serv'!$H$1:$XFD$1,26))</f>
        <v/>
      </c>
      <c r="BH1" s="201" t="str">
        <f>IF(INDEX('Select Index Min, Indust y Serv'!$H$1:$XFD$1,26)="","",INDEX('Select Index Min, Indust y Serv'!$H$1:$XFD$1,26))</f>
        <v/>
      </c>
      <c r="BI1" s="201" t="str">
        <f>IF(INDEX('Select Index Min, Indust y Serv'!$H$1:$XFD$1,27)="","",INDEX('Select Index Min, Indust y Serv'!$H$1:$XFD$1,27))</f>
        <v/>
      </c>
      <c r="BJ1" s="201" t="str">
        <f>IF(INDEX('Select Index Min, Indust y Serv'!$H$1:$XFD$1,27)="","",INDEX('Select Index Min, Indust y Serv'!$H$1:$XFD$1,27))</f>
        <v/>
      </c>
      <c r="BK1" s="201" t="str">
        <f>IF(INDEX('Select Index Min, Indust y Serv'!$H$1:$XFD$1,28)="","",INDEX('Select Index Min, Indust y Serv'!$H$1:$XFD$1,28))</f>
        <v/>
      </c>
      <c r="BL1" s="201" t="str">
        <f>IF(INDEX('Select Index Min, Indust y Serv'!$H$1:$XFD$1,28)="","",INDEX('Select Index Min, Indust y Serv'!$H$1:$XFD$1,28))</f>
        <v/>
      </c>
      <c r="BM1" s="201" t="str">
        <f>IF(INDEX('Select Index Min, Indust y Serv'!$H$1:$XFD$1,29)="","",INDEX('Select Index Min, Indust y Serv'!$H$1:$XFD$1,29))</f>
        <v/>
      </c>
      <c r="BN1" s="201" t="str">
        <f>IF(INDEX('Select Index Min, Indust y Serv'!$H$1:$XFD$1,29)="","",INDEX('Select Index Min, Indust y Serv'!$H$1:$XFD$1,29))</f>
        <v/>
      </c>
      <c r="BO1" s="201" t="str">
        <f>IF(INDEX('Select Index Min, Indust y Serv'!$H$1:$XFD$1,30)="","",INDEX('Select Index Min, Indust y Serv'!$H$1:$XFD$1,30))</f>
        <v/>
      </c>
      <c r="BP1" s="201" t="str">
        <f>IF(INDEX('Select Index Min, Indust y Serv'!$H$1:$XFD$1,30)="","",INDEX('Select Index Min, Indust y Serv'!$H$1:$XFD$1,30))</f>
        <v/>
      </c>
      <c r="BQ1" s="201" t="str">
        <f>IF(INDEX('Select Index Min, Indust y Serv'!$H$1:$XFD$1,31)="","",INDEX('Select Index Min, Indust y Serv'!$H$1:$XFD$1,31))</f>
        <v/>
      </c>
      <c r="BR1" s="201" t="str">
        <f>IF(INDEX('Select Index Min, Indust y Serv'!$H$1:$XFD$1,31)="","",INDEX('Select Index Min, Indust y Serv'!$H$1:$XFD$1,31))</f>
        <v/>
      </c>
      <c r="BS1" s="201" t="str">
        <f>IF(INDEX('Select Index Min, Indust y Serv'!$H$1:$XFD$1,32)="","",INDEX('Select Index Min, Indust y Serv'!$H$1:$XFD$1,32))</f>
        <v/>
      </c>
      <c r="BT1" s="201" t="str">
        <f>IF(INDEX('Select Index Min, Indust y Serv'!$H$1:$XFD$1,32)="","",INDEX('Select Index Min, Indust y Serv'!$H$1:$XFD$1,32))</f>
        <v/>
      </c>
      <c r="BU1" s="201" t="str">
        <f>IF(INDEX('Select Index Min, Indust y Serv'!$H$1:$XFD$1,33)="","",INDEX('Select Index Min, Indust y Serv'!$H$1:$XFD$1,33))</f>
        <v/>
      </c>
      <c r="BV1" s="201" t="str">
        <f>IF(INDEX('Select Index Min, Indust y Serv'!$H$1:$XFD$1,33)="","",INDEX('Select Index Min, Indust y Serv'!$H$1:$XFD$1,33))</f>
        <v/>
      </c>
      <c r="BW1" s="201" t="str">
        <f>IF(INDEX('Select Index Min, Indust y Serv'!$H$1:$XFD$1,34)="","",INDEX('Select Index Min, Indust y Serv'!$H$1:$XFD$1,34))</f>
        <v/>
      </c>
      <c r="BX1" s="201" t="str">
        <f>IF(INDEX('Select Index Min, Indust y Serv'!$H$1:$XFD$1,34)="","",INDEX('Select Index Min, Indust y Serv'!$H$1:$XFD$1,34))</f>
        <v/>
      </c>
      <c r="BY1" s="201" t="str">
        <f>IF(INDEX('Select Index Min, Indust y Serv'!$H$1:$XFD$1,35)="","",INDEX('Select Index Min, Indust y Serv'!$H$1:$XFD$1,35))</f>
        <v/>
      </c>
      <c r="BZ1" s="201" t="str">
        <f>IF(INDEX('Select Index Min, Indust y Serv'!$H$1:$XFD$1,35)="","",INDEX('Select Index Min, Indust y Serv'!$H$1:$XFD$1,35))</f>
        <v/>
      </c>
      <c r="CA1" s="201" t="str">
        <f>IF(INDEX('Select Index Min, Indust y Serv'!$H$1:$XFD$1,36)="","",INDEX('Select Index Min, Indust y Serv'!$H$1:$XFD$1,36))</f>
        <v/>
      </c>
      <c r="CB1" s="201" t="str">
        <f>IF(INDEX('Select Index Min, Indust y Serv'!$H$1:$XFD$1,36)="","",INDEX('Select Index Min, Indust y Serv'!$H$1:$XFD$1,36))</f>
        <v/>
      </c>
      <c r="CC1" s="201" t="str">
        <f>IF(INDEX('Select Index Min, Indust y Serv'!$H$1:$XFD$1,37)="","",INDEX('Select Index Min, Indust y Serv'!$H$1:$XFD$1,37))</f>
        <v/>
      </c>
      <c r="CD1" s="201" t="str">
        <f>IF(INDEX('Select Index Min, Indust y Serv'!$H$1:$XFD$1,37)="","",INDEX('Select Index Min, Indust y Serv'!$H$1:$XFD$1,37))</f>
        <v/>
      </c>
      <c r="CE1" s="201" t="str">
        <f>IF(INDEX('Select Index Min, Indust y Serv'!$H$1:$XFD$1,38)="","",INDEX('Select Index Min, Indust y Serv'!$H$1:$XFD$1,38))</f>
        <v/>
      </c>
      <c r="CF1" s="201" t="str">
        <f>IF(INDEX('Select Index Min, Indust y Serv'!$H$1:$XFD$1,38)="","",INDEX('Select Index Min, Indust y Serv'!$H$1:$XFD$1,38))</f>
        <v/>
      </c>
      <c r="CG1" s="201" t="str">
        <f>IF(INDEX('Select Index Min, Indust y Serv'!$H$1:$XFD$1,39)="","",INDEX('Select Index Min, Indust y Serv'!$H$1:$XFD$1,39))</f>
        <v/>
      </c>
      <c r="CH1" s="201" t="str">
        <f>IF(INDEX('Select Index Min, Indust y Serv'!$H$1:$XFD$1,39)="","",INDEX('Select Index Min, Indust y Serv'!$H$1:$XFD$1,39))</f>
        <v/>
      </c>
      <c r="CI1" s="201" t="str">
        <f>IF(INDEX('Select Index Min, Indust y Serv'!$H$1:$XFD$1,40)="","",INDEX('Select Index Min, Indust y Serv'!$H$1:$XFD$1,40))</f>
        <v/>
      </c>
      <c r="CJ1" s="201" t="str">
        <f>IF(INDEX('Select Index Min, Indust y Serv'!$H$1:$XFD$1,40)="","",INDEX('Select Index Min, Indust y Serv'!$H$1:$XFD$1,40))</f>
        <v/>
      </c>
      <c r="CK1" s="201" t="str">
        <f>IF(INDEX('Select Index Min, Indust y Serv'!$H$1:$XFD$1,41)="","",INDEX('Select Index Min, Indust y Serv'!$H$1:$XFD$1,41))</f>
        <v/>
      </c>
      <c r="CL1" s="201" t="str">
        <f>IF(INDEX('Select Index Min, Indust y Serv'!$H$1:$XFD$1,41)="","",INDEX('Select Index Min, Indust y Serv'!$H$1:$XFD$1,41))</f>
        <v/>
      </c>
      <c r="CM1" s="201" t="str">
        <f>IF(INDEX('Select Index Min, Indust y Serv'!$H$1:$XFD$1,42)="","",INDEX('Select Index Min, Indust y Serv'!$H$1:$XFD$1,42))</f>
        <v/>
      </c>
      <c r="CN1" s="201" t="str">
        <f>IF(INDEX('Select Index Min, Indust y Serv'!$H$1:$XFD$1,42)="","",INDEX('Select Index Min, Indust y Serv'!$H$1:$XFD$1,42))</f>
        <v/>
      </c>
      <c r="CO1" s="201" t="str">
        <f>IF(INDEX('Select Index Min, Indust y Serv'!$H$1:$XFD$1,43)="","",INDEX('Select Index Min, Indust y Serv'!$H$1:$XFD$1,43))</f>
        <v/>
      </c>
      <c r="CP1" s="201" t="str">
        <f>IF(INDEX('Select Index Min, Indust y Serv'!$H$1:$XFD$1,43)="","",INDEX('Select Index Min, Indust y Serv'!$H$1:$XFD$1,43))</f>
        <v/>
      </c>
      <c r="CQ1" s="201" t="str">
        <f>IF(INDEX('Select Index Min, Indust y Serv'!$H$1:$XFD$1,44)="","",INDEX('Select Index Min, Indust y Serv'!$H$1:$XFD$1,44))</f>
        <v/>
      </c>
      <c r="CR1" s="201" t="str">
        <f>IF(INDEX('Select Index Min, Indust y Serv'!$H$1:$XFD$1,44)="","",INDEX('Select Index Min, Indust y Serv'!$H$1:$XFD$1,44))</f>
        <v/>
      </c>
      <c r="CS1" s="201" t="str">
        <f>IF(INDEX('Select Index Min, Indust y Serv'!$H$1:$XFD$1,45)="","",INDEX('Select Index Min, Indust y Serv'!$H$1:$XFD$1,45))</f>
        <v/>
      </c>
      <c r="CT1" s="201" t="str">
        <f>IF(INDEX('Select Index Min, Indust y Serv'!$H$1:$XFD$1,45)="","",INDEX('Select Index Min, Indust y Serv'!$H$1:$XFD$1,45))</f>
        <v/>
      </c>
      <c r="CU1" s="201" t="str">
        <f>IF(INDEX('Select Index Min, Indust y Serv'!$H$1:$XFD$1,46)="","",INDEX('Select Index Min, Indust y Serv'!$H$1:$XFD$1,46))</f>
        <v/>
      </c>
      <c r="CV1" s="201" t="str">
        <f>IF(INDEX('Select Index Min, Indust y Serv'!$H$1:$XFD$1,46)="","",INDEX('Select Index Min, Indust y Serv'!$H$1:$XFD$1,46))</f>
        <v/>
      </c>
      <c r="CW1" s="201" t="str">
        <f>IF(INDEX('Select Index Min, Indust y Serv'!$H$1:$XFD$1,47)="","",INDEX('Select Index Min, Indust y Serv'!$H$1:$XFD$1,47))</f>
        <v/>
      </c>
      <c r="CX1" s="201" t="str">
        <f>IF(INDEX('Select Index Min, Indust y Serv'!$H$1:$XFD$1,47)="","",INDEX('Select Index Min, Indust y Serv'!$H$1:$XFD$1,47))</f>
        <v/>
      </c>
      <c r="CY1" s="201" t="str">
        <f>IF(INDEX('Select Index Min, Indust y Serv'!$H$1:$XFD$1,48)="","",INDEX('Select Index Min, Indust y Serv'!$H$1:$XFD$1,48))</f>
        <v/>
      </c>
      <c r="CZ1" s="201" t="str">
        <f>IF(INDEX('Select Index Min, Indust y Serv'!$H$1:$XFD$1,48)="","",INDEX('Select Index Min, Indust y Serv'!$H$1:$XFD$1,48))</f>
        <v/>
      </c>
    </row>
    <row r="2" spans="2:104" s="189" customFormat="1" ht="41.45">
      <c r="B2" s="349"/>
      <c r="C2" s="349"/>
      <c r="D2" s="349"/>
      <c r="E2" s="349"/>
      <c r="F2" s="349"/>
      <c r="G2" s="349"/>
      <c r="H2" s="346"/>
      <c r="I2" s="276" t="s">
        <v>70</v>
      </c>
      <c r="J2" s="276" t="s">
        <v>71</v>
      </c>
      <c r="K2" s="276" t="str">
        <f>IF(K1="","",$I$2)</f>
        <v>Cargo por energía
($/kWh)</v>
      </c>
      <c r="L2" s="276" t="str">
        <f>IF(L1="","",$J$2)</f>
        <v>Cargo por transmisión
($/kWh)</v>
      </c>
      <c r="M2" s="276" t="str">
        <f>IF(M1="","",$I$2)</f>
        <v>Cargo por energía
($/kWh)</v>
      </c>
      <c r="N2" s="276" t="str">
        <f>IF(N1="","",$J$2)</f>
        <v>Cargo por transmisión
($/kWh)</v>
      </c>
      <c r="O2" s="276" t="str">
        <f>IF(O1="","",$I$2)</f>
        <v/>
      </c>
      <c r="P2" s="276" t="str">
        <f>IF(P1="","",$J$2)</f>
        <v/>
      </c>
      <c r="Q2" s="276" t="str">
        <f>IF(Q1="","",$I$2)</f>
        <v/>
      </c>
      <c r="R2" s="276" t="str">
        <f>IF(R1="","",$J$2)</f>
        <v/>
      </c>
      <c r="S2" s="276" t="str">
        <f>IF(S1="","",$I$2)</f>
        <v/>
      </c>
      <c r="T2" s="276" t="str">
        <f>IF(T1="","",$J$2)</f>
        <v/>
      </c>
      <c r="U2" s="276" t="str">
        <f>IF(U1="","",$I$2)</f>
        <v/>
      </c>
      <c r="V2" s="276" t="str">
        <f>IF(V1="","",$J$2)</f>
        <v/>
      </c>
      <c r="W2" s="276" t="str">
        <f>IF(W1="","",$I$2)</f>
        <v/>
      </c>
      <c r="X2" s="276" t="str">
        <f>IF(X1="","",$J$2)</f>
        <v/>
      </c>
      <c r="Y2" s="276" t="str">
        <f>IF(Y1="","",$I$2)</f>
        <v/>
      </c>
      <c r="Z2" s="276" t="str">
        <f>IF(Z1="","",$J$2)</f>
        <v/>
      </c>
      <c r="AA2" s="276" t="str">
        <f>IF(AA1="","",$I$2)</f>
        <v/>
      </c>
      <c r="AB2" s="276" t="str">
        <f>IF(AB1="","",$J$2)</f>
        <v/>
      </c>
      <c r="AC2" s="276" t="str">
        <f>IF(AC1="","",$I$2)</f>
        <v/>
      </c>
      <c r="AD2" s="276" t="str">
        <f>IF(AD1="","",$J$2)</f>
        <v/>
      </c>
      <c r="AE2" s="276" t="str">
        <f>IF(AE1="","",$I$2)</f>
        <v/>
      </c>
      <c r="AF2" s="276" t="str">
        <f>IF(AF1="","",$J$2)</f>
        <v/>
      </c>
      <c r="AG2" s="276" t="str">
        <f>IF(AG1="","",$I$2)</f>
        <v/>
      </c>
      <c r="AH2" s="276" t="str">
        <f>IF(AH1="","",$J$2)</f>
        <v/>
      </c>
      <c r="AI2" s="276" t="str">
        <f>IF(AI1="","",$I$2)</f>
        <v/>
      </c>
      <c r="AJ2" s="276" t="str">
        <f>IF(AJ1="","",$J$2)</f>
        <v/>
      </c>
      <c r="AK2" s="276" t="str">
        <f>IF(AK1="","",$I$2)</f>
        <v/>
      </c>
      <c r="AL2" s="276" t="str">
        <f>IF(AL1="","",$J$2)</f>
        <v/>
      </c>
      <c r="AM2" s="276" t="str">
        <f>IF(AM1="","",$I$2)</f>
        <v/>
      </c>
      <c r="AN2" s="276" t="str">
        <f>IF(AN1="","",$J$2)</f>
        <v/>
      </c>
      <c r="AO2" s="276" t="str">
        <f>IF(AO1="","",$I$2)</f>
        <v/>
      </c>
      <c r="AP2" s="276" t="str">
        <f>IF(AP1="","",$J$2)</f>
        <v/>
      </c>
      <c r="AQ2" s="276" t="str">
        <f>IF(AQ1="","",$I$2)</f>
        <v/>
      </c>
      <c r="AR2" s="276" t="str">
        <f>IF(AR1="","",$J$2)</f>
        <v/>
      </c>
      <c r="AS2" s="276" t="str">
        <f>IF(AS1="","",$I$2)</f>
        <v/>
      </c>
      <c r="AT2" s="276" t="str">
        <f>IF(AT1="","",$J$2)</f>
        <v/>
      </c>
      <c r="AU2" s="276" t="str">
        <f>IF(AU1="","",$I$2)</f>
        <v/>
      </c>
      <c r="AV2" s="276" t="str">
        <f>IF(AV1="","",$J$2)</f>
        <v/>
      </c>
      <c r="AW2" s="276" t="str">
        <f>IF(AW1="","",$I$2)</f>
        <v/>
      </c>
      <c r="AX2" s="276" t="str">
        <f>IF(AX1="","",$J$2)</f>
        <v/>
      </c>
      <c r="AY2" s="276" t="str">
        <f>IF(AY1="","",$I$2)</f>
        <v/>
      </c>
      <c r="AZ2" s="276" t="str">
        <f>IF(AZ1="","",$J$2)</f>
        <v/>
      </c>
      <c r="BA2" s="276" t="str">
        <f>IF(BA1="","",$I$2)</f>
        <v/>
      </c>
      <c r="BB2" s="276" t="str">
        <f>IF(BB1="","",$J$2)</f>
        <v/>
      </c>
      <c r="BC2" s="276" t="str">
        <f>IF(BC1="","",$I$2)</f>
        <v/>
      </c>
      <c r="BD2" s="276" t="str">
        <f>IF(BD1="","",$J$2)</f>
        <v/>
      </c>
      <c r="BE2" s="276" t="str">
        <f>IF(BE1="","",$I$2)</f>
        <v/>
      </c>
      <c r="BF2" s="276" t="str">
        <f>IF(BF1="","",$J$2)</f>
        <v/>
      </c>
      <c r="BG2" s="276" t="str">
        <f>IF(BG1="","",$I$2)</f>
        <v/>
      </c>
      <c r="BH2" s="276" t="str">
        <f>IF(BH1="","",$J$2)</f>
        <v/>
      </c>
      <c r="BI2" s="276" t="str">
        <f>IF(BI1="","",$I$2)</f>
        <v/>
      </c>
      <c r="BJ2" s="276" t="str">
        <f>IF(BJ1="","",$J$2)</f>
        <v/>
      </c>
      <c r="BK2" s="276" t="str">
        <f>IF(BK1="","",$I$2)</f>
        <v/>
      </c>
      <c r="BL2" s="276" t="str">
        <f>IF(BL1="","",$J$2)</f>
        <v/>
      </c>
      <c r="BM2" s="276" t="str">
        <f>IF(BM1="","",$I$2)</f>
        <v/>
      </c>
      <c r="BN2" s="276" t="str">
        <f>IF(BN1="","",$J$2)</f>
        <v/>
      </c>
      <c r="BO2" s="276" t="str">
        <f>IF(BO1="","",$I$2)</f>
        <v/>
      </c>
      <c r="BP2" s="276" t="str">
        <f>IF(BP1="","",$J$2)</f>
        <v/>
      </c>
      <c r="BQ2" s="276" t="str">
        <f>IF(BQ1="","",$I$2)</f>
        <v/>
      </c>
      <c r="BR2" s="276" t="str">
        <f>IF(BR1="","",$J$2)</f>
        <v/>
      </c>
      <c r="BS2" s="276" t="str">
        <f>IF(BS1="","",$I$2)</f>
        <v/>
      </c>
      <c r="BT2" s="276" t="str">
        <f>IF(BT1="","",$J$2)</f>
        <v/>
      </c>
      <c r="BU2" s="276" t="str">
        <f>IF(BU1="","",$I$2)</f>
        <v/>
      </c>
      <c r="BV2" s="276" t="str">
        <f>IF(BV1="","",$J$2)</f>
        <v/>
      </c>
      <c r="BW2" s="276" t="str">
        <f>IF(BW1="","",$I$2)</f>
        <v/>
      </c>
      <c r="BX2" s="276" t="str">
        <f>IF(BX1="","",$J$2)</f>
        <v/>
      </c>
      <c r="BY2" s="276" t="str">
        <f>IF(BY1="","",$I$2)</f>
        <v/>
      </c>
      <c r="BZ2" s="276" t="str">
        <f>IF(BZ1="","",$J$2)</f>
        <v/>
      </c>
      <c r="CA2" s="276" t="str">
        <f>IF(CA1="","",$I$2)</f>
        <v/>
      </c>
      <c r="CB2" s="276" t="str">
        <f>IF(CB1="","",$J$2)</f>
        <v/>
      </c>
      <c r="CC2" s="276" t="str">
        <f>IF(CC1="","",$I$2)</f>
        <v/>
      </c>
      <c r="CD2" s="276" t="str">
        <f>IF(CD1="","",$J$2)</f>
        <v/>
      </c>
      <c r="CE2" s="276" t="str">
        <f>IF(CE1="","",$I$2)</f>
        <v/>
      </c>
      <c r="CF2" s="276" t="str">
        <f>IF(CF1="","",$J$2)</f>
        <v/>
      </c>
      <c r="CG2" s="276" t="str">
        <f>IF(CG1="","",$I$2)</f>
        <v/>
      </c>
      <c r="CH2" s="276" t="str">
        <f>IF(CH1="","",$J$2)</f>
        <v/>
      </c>
      <c r="CI2" s="276" t="str">
        <f>IF(CI1="","",$I$2)</f>
        <v/>
      </c>
      <c r="CJ2" s="276" t="str">
        <f>IF(CJ1="","",$J$2)</f>
        <v/>
      </c>
      <c r="CK2" s="276" t="str">
        <f>IF(CK1="","",$I$2)</f>
        <v/>
      </c>
      <c r="CL2" s="276" t="str">
        <f>IF(CL1="","",$J$2)</f>
        <v/>
      </c>
      <c r="CM2" s="276" t="str">
        <f>IF(CM1="","",$I$2)</f>
        <v/>
      </c>
      <c r="CN2" s="276" t="str">
        <f>IF(CN1="","",$J$2)</f>
        <v/>
      </c>
      <c r="CO2" s="276" t="str">
        <f>IF(CO1="","",$I$2)</f>
        <v/>
      </c>
      <c r="CP2" s="276" t="str">
        <f>IF(CP1="","",$J$2)</f>
        <v/>
      </c>
      <c r="CQ2" s="276" t="str">
        <f>IF(CQ1="","",$I$2)</f>
        <v/>
      </c>
      <c r="CR2" s="276" t="str">
        <f>IF(CR1="","",$J$2)</f>
        <v/>
      </c>
      <c r="CS2" s="276" t="str">
        <f>IF(CS1="","",$I$2)</f>
        <v/>
      </c>
      <c r="CT2" s="276" t="str">
        <f>IF(CT1="","",$J$2)</f>
        <v/>
      </c>
      <c r="CU2" s="276" t="str">
        <f>IF(CU1="","",$I$2)</f>
        <v/>
      </c>
      <c r="CV2" s="276" t="str">
        <f>IF(CV1="","",$J$2)</f>
        <v/>
      </c>
      <c r="CW2" s="276" t="str">
        <f>IF(CW1="","",$I$2)</f>
        <v/>
      </c>
      <c r="CX2" s="276" t="str">
        <f>IF(CX1="","",$J$2)</f>
        <v/>
      </c>
      <c r="CY2" s="276" t="str">
        <f>IF(CY1="","",$I$2)</f>
        <v/>
      </c>
      <c r="CZ2" s="276" t="str">
        <f>IF(CZ1="","",$J$2)</f>
        <v/>
      </c>
    </row>
    <row r="3" spans="2:104" ht="27" customHeight="1">
      <c r="B3" s="190" t="s">
        <v>72</v>
      </c>
      <c r="C3" s="191">
        <v>6.5710001311532441E-3</v>
      </c>
      <c r="D3" s="191">
        <v>6.8390020478619933E-3</v>
      </c>
      <c r="E3" s="191" t="s">
        <v>73</v>
      </c>
      <c r="F3" s="191" t="s">
        <v>74</v>
      </c>
      <c r="G3" s="192" t="s">
        <v>75</v>
      </c>
      <c r="H3" s="191" t="s">
        <v>76</v>
      </c>
      <c r="I3" s="59">
        <v>78.197000000000003</v>
      </c>
      <c r="J3" s="58">
        <v>17.422999999999998</v>
      </c>
      <c r="K3" s="198">
        <v>78.197000000000003</v>
      </c>
      <c r="L3" s="198">
        <v>17.422999999999998</v>
      </c>
      <c r="M3" s="198">
        <v>78.197000000000003</v>
      </c>
      <c r="N3" s="198">
        <v>17.422999999999998</v>
      </c>
      <c r="O3" s="198"/>
      <c r="P3" s="198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</row>
    <row r="4" spans="2:104">
      <c r="B4" s="190" t="s">
        <v>77</v>
      </c>
      <c r="C4" s="191">
        <v>1.4521425149675261E-2</v>
      </c>
      <c r="D4" s="191">
        <v>1.5113689598888197E-2</v>
      </c>
      <c r="E4" s="191" t="s">
        <v>78</v>
      </c>
      <c r="F4" s="191" t="s">
        <v>79</v>
      </c>
      <c r="G4" s="192" t="s">
        <v>75</v>
      </c>
      <c r="H4" s="191" t="s">
        <v>76</v>
      </c>
      <c r="I4" s="59">
        <v>71.331000000000003</v>
      </c>
      <c r="J4" s="58">
        <v>17.422999999999998</v>
      </c>
      <c r="K4" s="198">
        <v>71.331000000000003</v>
      </c>
      <c r="L4" s="198">
        <v>17.422999999999998</v>
      </c>
      <c r="M4" s="198">
        <v>71.331000000000003</v>
      </c>
      <c r="N4" s="198">
        <v>17.422999999999998</v>
      </c>
      <c r="O4" s="198"/>
      <c r="P4" s="198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</row>
    <row r="5" spans="2:104">
      <c r="B5" s="190" t="s">
        <v>80</v>
      </c>
      <c r="C5" s="191">
        <v>3.0395948865059669E-2</v>
      </c>
      <c r="D5" s="191">
        <v>3.1635664645522976E-2</v>
      </c>
      <c r="E5" s="191" t="s">
        <v>80</v>
      </c>
      <c r="F5" s="191" t="s">
        <v>81</v>
      </c>
      <c r="G5" s="192" t="s">
        <v>75</v>
      </c>
      <c r="H5" s="191" t="s">
        <v>76</v>
      </c>
      <c r="I5" s="59">
        <v>73.781999999999996</v>
      </c>
      <c r="J5" s="58">
        <v>17.422999999999998</v>
      </c>
      <c r="K5" s="198">
        <v>73.781999999999996</v>
      </c>
      <c r="L5" s="198">
        <v>17.422999999999998</v>
      </c>
      <c r="M5" s="198">
        <v>73.781999999999996</v>
      </c>
      <c r="N5" s="198">
        <v>17.422999999999998</v>
      </c>
      <c r="O5" s="198"/>
      <c r="P5" s="198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4"/>
      <c r="BU5" s="214"/>
      <c r="BV5" s="214"/>
      <c r="BW5" s="214"/>
      <c r="BX5" s="214"/>
      <c r="BY5" s="214"/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</row>
    <row r="6" spans="2:104">
      <c r="B6" s="190" t="s">
        <v>82</v>
      </c>
      <c r="C6" s="191">
        <v>2.0525661064387302E-2</v>
      </c>
      <c r="D6" s="191">
        <v>2.1362811634646765E-2</v>
      </c>
      <c r="E6" s="191" t="s">
        <v>83</v>
      </c>
      <c r="F6" s="191" t="s">
        <v>84</v>
      </c>
      <c r="G6" s="192" t="s">
        <v>85</v>
      </c>
      <c r="H6" s="191" t="s">
        <v>76</v>
      </c>
      <c r="I6" s="59">
        <v>78.013999999999996</v>
      </c>
      <c r="J6" s="58">
        <v>24.204999999999998</v>
      </c>
      <c r="K6" s="198">
        <v>78.013999999999996</v>
      </c>
      <c r="L6" s="198">
        <v>24.204999999999998</v>
      </c>
      <c r="M6" s="198">
        <v>78.013999999999996</v>
      </c>
      <c r="N6" s="198">
        <v>24.204999999999998</v>
      </c>
      <c r="O6" s="198"/>
      <c r="P6" s="198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/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/>
      <c r="CS6" s="214"/>
      <c r="CT6" s="214"/>
      <c r="CU6" s="214"/>
      <c r="CV6" s="214"/>
      <c r="CW6" s="214"/>
      <c r="CX6" s="214"/>
      <c r="CY6" s="214"/>
      <c r="CZ6" s="214"/>
    </row>
    <row r="7" spans="2:104">
      <c r="B7" s="190" t="s">
        <v>86</v>
      </c>
      <c r="C7" s="191">
        <v>2.9845096985884435E-2</v>
      </c>
      <c r="D7" s="191">
        <v>3.1062345964263587E-2</v>
      </c>
      <c r="E7" s="191" t="s">
        <v>86</v>
      </c>
      <c r="F7" s="191" t="s">
        <v>87</v>
      </c>
      <c r="G7" s="192" t="s">
        <v>88</v>
      </c>
      <c r="H7" s="191" t="s">
        <v>76</v>
      </c>
      <c r="I7" s="59">
        <v>82.769000000000005</v>
      </c>
      <c r="J7" s="58">
        <v>24.204999999999998</v>
      </c>
      <c r="K7" s="198">
        <v>82.769000000000005</v>
      </c>
      <c r="L7" s="198">
        <v>24.204999999999998</v>
      </c>
      <c r="M7" s="198">
        <v>82.769000000000005</v>
      </c>
      <c r="N7" s="198">
        <v>24.204999999999998</v>
      </c>
      <c r="O7" s="198"/>
      <c r="P7" s="198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</row>
    <row r="8" spans="2:104">
      <c r="B8" s="190" t="s">
        <v>89</v>
      </c>
      <c r="C8" s="191">
        <v>0.27583173304029401</v>
      </c>
      <c r="D8" s="192">
        <v>0.28708168459537298</v>
      </c>
      <c r="E8" s="191" t="s">
        <v>90</v>
      </c>
      <c r="F8" s="191" t="s">
        <v>91</v>
      </c>
      <c r="G8" s="192" t="s">
        <v>92</v>
      </c>
      <c r="H8" s="191" t="s">
        <v>93</v>
      </c>
      <c r="I8" s="59">
        <v>71.885999999999996</v>
      </c>
      <c r="J8" s="58">
        <v>12.784000000000001</v>
      </c>
      <c r="K8" s="198">
        <v>71.885999999999996</v>
      </c>
      <c r="L8" s="198">
        <v>12.784000000000001</v>
      </c>
      <c r="M8" s="198">
        <v>71.885999999999996</v>
      </c>
      <c r="N8" s="198">
        <v>12.784000000000001</v>
      </c>
      <c r="O8" s="198"/>
      <c r="P8" s="198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</row>
    <row r="9" spans="2:104">
      <c r="B9" s="190" t="s">
        <v>94</v>
      </c>
      <c r="C9" s="191">
        <v>0.12526753111095301</v>
      </c>
      <c r="D9" s="192">
        <v>0.13037663745230624</v>
      </c>
      <c r="E9" s="191" t="s">
        <v>94</v>
      </c>
      <c r="F9" s="191" t="s">
        <v>95</v>
      </c>
      <c r="G9" s="192" t="s">
        <v>96</v>
      </c>
      <c r="H9" s="191" t="s">
        <v>97</v>
      </c>
      <c r="I9" s="59">
        <v>83.463999999999999</v>
      </c>
      <c r="J9" s="59">
        <v>19.154</v>
      </c>
      <c r="K9" s="198">
        <v>83.463999999999999</v>
      </c>
      <c r="L9" s="198">
        <v>19.154</v>
      </c>
      <c r="M9" s="198">
        <v>83.463999999999999</v>
      </c>
      <c r="N9" s="198">
        <v>19.154</v>
      </c>
      <c r="O9" s="198"/>
      <c r="P9" s="198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</row>
    <row r="10" spans="2:104">
      <c r="B10" s="190" t="s">
        <v>98</v>
      </c>
      <c r="C10" s="191">
        <v>6.7990740655728646E-2</v>
      </c>
      <c r="D10" s="191">
        <v>7.0763781053002975E-2</v>
      </c>
      <c r="E10" s="191" t="s">
        <v>99</v>
      </c>
      <c r="F10" s="191" t="s">
        <v>100</v>
      </c>
      <c r="G10" s="192" t="s">
        <v>101</v>
      </c>
      <c r="H10" s="191" t="s">
        <v>76</v>
      </c>
      <c r="I10" s="59">
        <v>81.334000000000003</v>
      </c>
      <c r="J10" s="58">
        <v>20.274000000000001</v>
      </c>
      <c r="K10" s="198">
        <v>81.334000000000003</v>
      </c>
      <c r="L10" s="198">
        <v>20.274000000000001</v>
      </c>
      <c r="M10" s="198">
        <v>81.334000000000003</v>
      </c>
      <c r="N10" s="198">
        <v>20.274000000000001</v>
      </c>
      <c r="O10" s="198"/>
      <c r="P10" s="198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</row>
    <row r="11" spans="2:104">
      <c r="B11" s="190" t="s">
        <v>102</v>
      </c>
      <c r="C11" s="191">
        <v>6.7465685258936939E-2</v>
      </c>
      <c r="D11" s="191">
        <v>7.0217310978093805E-2</v>
      </c>
      <c r="E11" s="191" t="s">
        <v>103</v>
      </c>
      <c r="F11" s="191" t="s">
        <v>100</v>
      </c>
      <c r="G11" s="192" t="s">
        <v>104</v>
      </c>
      <c r="H11" s="191" t="s">
        <v>76</v>
      </c>
      <c r="I11" s="59">
        <v>81.34</v>
      </c>
      <c r="J11" s="58">
        <v>20.274000000000001</v>
      </c>
      <c r="K11" s="198">
        <v>81.34</v>
      </c>
      <c r="L11" s="198">
        <v>20.274000000000001</v>
      </c>
      <c r="M11" s="198">
        <v>81.34</v>
      </c>
      <c r="N11" s="198">
        <v>20.274000000000001</v>
      </c>
      <c r="O11" s="198"/>
      <c r="P11" s="198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</row>
    <row r="12" spans="2:104">
      <c r="B12" s="190" t="s">
        <v>105</v>
      </c>
      <c r="C12" s="191">
        <v>0.13064699945444985</v>
      </c>
      <c r="D12" s="191">
        <v>0.13597551042191114</v>
      </c>
      <c r="E12" s="191" t="s">
        <v>106</v>
      </c>
      <c r="F12" s="191" t="s">
        <v>100</v>
      </c>
      <c r="G12" s="192" t="s">
        <v>107</v>
      </c>
      <c r="H12" s="191" t="s">
        <v>76</v>
      </c>
      <c r="I12" s="59">
        <v>81.332999999999998</v>
      </c>
      <c r="J12" s="58">
        <v>20.274000000000001</v>
      </c>
      <c r="K12" s="198">
        <v>81.332999999999998</v>
      </c>
      <c r="L12" s="198">
        <v>20.274000000000001</v>
      </c>
      <c r="M12" s="198">
        <v>81.332999999999998</v>
      </c>
      <c r="N12" s="198">
        <v>20.274000000000001</v>
      </c>
      <c r="O12" s="198"/>
      <c r="P12" s="198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214"/>
      <c r="CK12" s="214"/>
      <c r="CL12" s="214"/>
      <c r="CM12" s="214"/>
      <c r="CN12" s="214"/>
      <c r="CO12" s="214"/>
      <c r="CP12" s="214"/>
      <c r="CQ12" s="214"/>
      <c r="CR12" s="214"/>
      <c r="CS12" s="214"/>
      <c r="CT12" s="214"/>
      <c r="CU12" s="214"/>
      <c r="CV12" s="214"/>
      <c r="CW12" s="214"/>
      <c r="CX12" s="214"/>
      <c r="CY12" s="214"/>
      <c r="CZ12" s="214"/>
    </row>
    <row r="13" spans="2:104">
      <c r="B13" s="190" t="s">
        <v>108</v>
      </c>
      <c r="C13" s="191">
        <v>8.2692995918448198E-2</v>
      </c>
      <c r="D13" s="191">
        <v>8.6065676022267251E-2</v>
      </c>
      <c r="E13" s="191" t="s">
        <v>109</v>
      </c>
      <c r="F13" s="191" t="s">
        <v>100</v>
      </c>
      <c r="G13" s="192" t="s">
        <v>110</v>
      </c>
      <c r="H13" s="191" t="s">
        <v>76</v>
      </c>
      <c r="I13" s="59">
        <v>81.34</v>
      </c>
      <c r="J13" s="58">
        <v>20.274000000000001</v>
      </c>
      <c r="K13" s="198">
        <v>81.34</v>
      </c>
      <c r="L13" s="198">
        <v>20.274000000000001</v>
      </c>
      <c r="M13" s="198">
        <v>81.34</v>
      </c>
      <c r="N13" s="198">
        <v>20.274000000000001</v>
      </c>
      <c r="O13" s="198"/>
      <c r="P13" s="198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/>
      <c r="CP13" s="214"/>
      <c r="CQ13" s="214"/>
      <c r="CR13" s="214"/>
      <c r="CS13" s="214"/>
      <c r="CT13" s="214"/>
      <c r="CU13" s="214"/>
      <c r="CV13" s="214"/>
      <c r="CW13" s="214"/>
      <c r="CX13" s="214"/>
      <c r="CY13" s="214"/>
      <c r="CZ13" s="214"/>
    </row>
    <row r="14" spans="2:104">
      <c r="B14" s="190" t="s">
        <v>111</v>
      </c>
      <c r="C14" s="191">
        <v>2.899348238416067E-2</v>
      </c>
      <c r="D14" s="191">
        <v>3.017599778454504E-2</v>
      </c>
      <c r="E14" s="191" t="s">
        <v>112</v>
      </c>
      <c r="F14" s="191" t="s">
        <v>113</v>
      </c>
      <c r="G14" s="192" t="s">
        <v>114</v>
      </c>
      <c r="H14" s="191" t="s">
        <v>115</v>
      </c>
      <c r="I14" s="59">
        <v>75.742000000000004</v>
      </c>
      <c r="J14" s="58">
        <v>20.379000000000001</v>
      </c>
      <c r="K14" s="198">
        <v>75.742000000000004</v>
      </c>
      <c r="L14" s="198">
        <v>20.379000000000001</v>
      </c>
      <c r="M14" s="198">
        <v>75.742000000000004</v>
      </c>
      <c r="N14" s="198">
        <v>20.379000000000001</v>
      </c>
      <c r="O14" s="198"/>
      <c r="P14" s="198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4"/>
      <c r="CW14" s="214"/>
      <c r="CX14" s="214"/>
      <c r="CY14" s="214"/>
      <c r="CZ14" s="214"/>
    </row>
    <row r="15" spans="2:104">
      <c r="B15" s="190" t="s">
        <v>116</v>
      </c>
      <c r="C15" s="193">
        <v>8.0064415807949346E-2</v>
      </c>
      <c r="D15" s="193">
        <v>8.3329887801317101E-2</v>
      </c>
      <c r="E15" s="193" t="s">
        <v>117</v>
      </c>
      <c r="F15" s="193" t="s">
        <v>113</v>
      </c>
      <c r="G15" s="194" t="s">
        <v>114</v>
      </c>
      <c r="H15" s="191" t="s">
        <v>115</v>
      </c>
      <c r="I15" s="59">
        <v>75.718999999999994</v>
      </c>
      <c r="J15" s="58">
        <v>20.379000000000001</v>
      </c>
      <c r="K15" s="198">
        <v>75.718999999999994</v>
      </c>
      <c r="L15" s="198">
        <v>20.379000000000001</v>
      </c>
      <c r="M15" s="198">
        <v>75.718999999999994</v>
      </c>
      <c r="N15" s="198">
        <v>20.379000000000001</v>
      </c>
      <c r="O15" s="198"/>
      <c r="P15" s="198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</row>
    <row r="16" spans="2:104" ht="24">
      <c r="B16" s="195" t="s">
        <v>118</v>
      </c>
      <c r="C16" s="191">
        <v>1.7352477335950099E-2</v>
      </c>
      <c r="D16" s="191" t="s">
        <v>119</v>
      </c>
      <c r="E16" s="191" t="s">
        <v>120</v>
      </c>
      <c r="F16" s="191" t="s">
        <v>121</v>
      </c>
      <c r="G16" s="192" t="s">
        <v>122</v>
      </c>
      <c r="H16" s="191" t="s">
        <v>123</v>
      </c>
      <c r="I16" s="58">
        <v>82.894000000000005</v>
      </c>
      <c r="J16" s="58">
        <v>0</v>
      </c>
      <c r="K16" s="199">
        <v>82.894000000000005</v>
      </c>
      <c r="L16" s="199">
        <v>0</v>
      </c>
      <c r="M16" s="199">
        <v>82.894000000000005</v>
      </c>
      <c r="N16" s="199">
        <v>0</v>
      </c>
      <c r="O16" s="199"/>
      <c r="P16" s="199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4"/>
      <c r="CW16" s="214"/>
      <c r="CX16" s="214"/>
      <c r="CY16" s="214"/>
      <c r="CZ16" s="214"/>
    </row>
    <row r="17" spans="2:104" ht="24">
      <c r="B17" s="195" t="s">
        <v>124</v>
      </c>
      <c r="C17" s="191">
        <v>2.1834806836970009E-2</v>
      </c>
      <c r="D17" s="191" t="s">
        <v>119</v>
      </c>
      <c r="E17" s="191" t="s">
        <v>125</v>
      </c>
      <c r="F17" s="191" t="s">
        <v>126</v>
      </c>
      <c r="G17" s="192" t="s">
        <v>122</v>
      </c>
      <c r="H17" s="191" t="s">
        <v>127</v>
      </c>
      <c r="I17" s="58">
        <v>65.570999999999998</v>
      </c>
      <c r="J17" s="58">
        <v>0</v>
      </c>
      <c r="K17" s="199">
        <v>65.570999999999998</v>
      </c>
      <c r="L17" s="199">
        <v>0</v>
      </c>
      <c r="M17" s="199">
        <v>65.570999999999998</v>
      </c>
      <c r="N17" s="199">
        <v>0</v>
      </c>
      <c r="O17" s="199"/>
      <c r="P17" s="199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</row>
    <row r="18" spans="2:104" ht="27.6">
      <c r="B18" s="196" t="s">
        <v>128</v>
      </c>
      <c r="C18" s="191" t="s">
        <v>119</v>
      </c>
      <c r="D18" s="191" t="s">
        <v>119</v>
      </c>
      <c r="E18" s="192" t="s">
        <v>129</v>
      </c>
      <c r="F18" s="192" t="s">
        <v>113</v>
      </c>
      <c r="G18" s="192" t="s">
        <v>122</v>
      </c>
      <c r="H18" s="191" t="s">
        <v>115</v>
      </c>
      <c r="I18" s="58">
        <v>73.766999999999996</v>
      </c>
      <c r="J18" s="58">
        <v>0</v>
      </c>
      <c r="K18" s="199">
        <v>73.766999999999996</v>
      </c>
      <c r="L18" s="199">
        <v>0</v>
      </c>
      <c r="M18" s="199">
        <v>73.766999999999996</v>
      </c>
      <c r="N18" s="199">
        <v>0</v>
      </c>
      <c r="O18" s="199"/>
      <c r="P18" s="199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</row>
    <row r="19" spans="2:104">
      <c r="G19" s="197"/>
      <c r="I19" s="54"/>
      <c r="J19" s="54"/>
      <c r="K19" s="54"/>
    </row>
  </sheetData>
  <sheetProtection algorithmName="SHA-512" hashValue="JWsTEWxV9xffX95UeEKUFiWHHHtRdLH84P02YsU4gXXcJXAuEk4j0iPHnBOcouCYJOhbtQpL4CsvarL+CDYdJQ==" saltValue="r9NdWtdPn/cDZwJX476O9w==" spinCount="100000" sheet="1" objects="1" scenarios="1" formatCells="0" formatColumns="0" formatRows="0"/>
  <mergeCells count="7">
    <mergeCell ref="B1:B2"/>
    <mergeCell ref="H1:H2"/>
    <mergeCell ref="G1:G2"/>
    <mergeCell ref="F1:F2"/>
    <mergeCell ref="E1:E2"/>
    <mergeCell ref="D1:D2"/>
    <mergeCell ref="C1:C2"/>
  </mergeCells>
  <dataValidations count="2">
    <dataValidation allowBlank="1" showInputMessage="1" showErrorMessage="1" prompt="Celda se actualiza sola al ingresar fecha en pestaña &quot;Mes Año Costo de Falla." sqref="K1:CZ1" xr:uid="{42DFC5A6-978F-48EE-9F23-2B0413E0E88C}"/>
    <dataValidation allowBlank="1" showInputMessage="1" showErrorMessage="1" prompt="Celda se actualiza sola al ingresar fecha en pestaña &quot;Mes Año Costo de Falla&quot;." sqref="K2:CZ2" xr:uid="{DA57A65E-E7FA-49AA-A5C4-D33280084491}"/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6C20E-930F-4CE0-9233-FACA582C5088}">
  <sheetPr>
    <tabColor theme="9" tint="0.59999389629810485"/>
  </sheetPr>
  <dimension ref="A1:BV12"/>
  <sheetViews>
    <sheetView showGridLines="0" zoomScale="85" zoomScaleNormal="85" workbookViewId="0">
      <pane xSplit="5" ySplit="1" topLeftCell="J3" activePane="bottomRight" state="frozen"/>
      <selection pane="bottomRight" activeCell="J3" sqref="J3:XFD3"/>
      <selection pane="bottomLeft" activeCell="A2" sqref="A2"/>
      <selection pane="topRight" activeCell="F1" sqref="F1"/>
    </sheetView>
  </sheetViews>
  <sheetFormatPr defaultColWidth="11.42578125" defaultRowHeight="14.45"/>
  <cols>
    <col min="1" max="1" width="3.42578125" customWidth="1"/>
    <col min="2" max="2" width="39" customWidth="1"/>
    <col min="3" max="3" width="21.28515625" style="3" customWidth="1"/>
    <col min="4" max="4" width="6.85546875" style="3" customWidth="1"/>
    <col min="5" max="5" width="24.5703125" style="3" bestFit="1" customWidth="1"/>
    <col min="6" max="9" width="11.140625" style="3" customWidth="1"/>
    <col min="10" max="16384" width="11.42578125" style="188"/>
  </cols>
  <sheetData>
    <row r="1" spans="1:74">
      <c r="A1" s="3"/>
      <c r="B1" s="215"/>
      <c r="C1" s="216" t="s">
        <v>130</v>
      </c>
      <c r="D1" s="216" t="s">
        <v>131</v>
      </c>
      <c r="E1" s="216" t="s">
        <v>54</v>
      </c>
      <c r="F1" s="217">
        <v>43556</v>
      </c>
      <c r="G1" s="217">
        <v>43586</v>
      </c>
      <c r="H1" s="217">
        <v>43617</v>
      </c>
      <c r="I1" s="217">
        <v>43647</v>
      </c>
      <c r="J1" s="217">
        <v>43678</v>
      </c>
      <c r="K1" s="217">
        <v>43709</v>
      </c>
      <c r="L1" s="217">
        <v>43739</v>
      </c>
      <c r="M1" s="217">
        <v>43770</v>
      </c>
      <c r="N1" s="217">
        <v>43800</v>
      </c>
      <c r="O1" s="217">
        <v>43831</v>
      </c>
      <c r="P1" s="217">
        <v>43862</v>
      </c>
      <c r="Q1" s="217">
        <v>43891</v>
      </c>
      <c r="R1" s="217">
        <v>43922</v>
      </c>
      <c r="S1" s="217">
        <v>43952</v>
      </c>
      <c r="T1" s="217">
        <v>43983</v>
      </c>
      <c r="U1" s="217">
        <v>44013</v>
      </c>
      <c r="V1" s="217">
        <v>44044</v>
      </c>
      <c r="W1" s="217">
        <v>44075</v>
      </c>
      <c r="X1" s="217">
        <v>44105</v>
      </c>
      <c r="Y1" s="217">
        <v>44136</v>
      </c>
      <c r="Z1" s="217">
        <v>44166</v>
      </c>
      <c r="AA1" s="217">
        <v>44197</v>
      </c>
      <c r="AB1" s="217">
        <v>44228</v>
      </c>
      <c r="AC1" s="217">
        <v>44256</v>
      </c>
      <c r="AD1" s="217">
        <v>44287</v>
      </c>
      <c r="AE1" s="217">
        <v>44317</v>
      </c>
      <c r="AF1" s="217">
        <v>44348</v>
      </c>
      <c r="AG1" s="217">
        <v>44378</v>
      </c>
      <c r="AH1" s="217">
        <v>44409</v>
      </c>
      <c r="AI1" s="217">
        <v>44440</v>
      </c>
      <c r="AJ1" s="217">
        <v>44470</v>
      </c>
      <c r="AK1" s="217">
        <v>44501</v>
      </c>
      <c r="AL1" s="217">
        <v>44531</v>
      </c>
      <c r="AM1" s="217">
        <v>44562</v>
      </c>
      <c r="AN1" s="217">
        <v>44593</v>
      </c>
      <c r="AO1" s="217">
        <v>44621</v>
      </c>
      <c r="AP1" s="217">
        <v>44652</v>
      </c>
      <c r="AQ1" s="217">
        <v>44682</v>
      </c>
      <c r="AR1" s="217">
        <v>44713</v>
      </c>
      <c r="AS1" s="217">
        <v>44743</v>
      </c>
      <c r="AT1" s="217">
        <v>44774</v>
      </c>
      <c r="AU1" s="217">
        <v>44805</v>
      </c>
      <c r="AV1" s="217">
        <v>44835</v>
      </c>
      <c r="AW1" s="217">
        <v>44866</v>
      </c>
      <c r="AX1" s="217">
        <v>44896</v>
      </c>
      <c r="AY1" s="217">
        <v>44927</v>
      </c>
      <c r="AZ1" s="217">
        <v>44958</v>
      </c>
      <c r="BA1" s="217">
        <v>44986</v>
      </c>
      <c r="BB1" s="217">
        <v>45017</v>
      </c>
      <c r="BC1" s="217">
        <v>45047</v>
      </c>
      <c r="BD1" s="217">
        <v>45078</v>
      </c>
      <c r="BE1" s="217">
        <v>45108</v>
      </c>
      <c r="BF1" s="217">
        <v>45139</v>
      </c>
      <c r="BG1" s="217">
        <v>45170</v>
      </c>
      <c r="BH1" s="217">
        <v>45200</v>
      </c>
      <c r="BI1" s="217">
        <v>45231</v>
      </c>
      <c r="BJ1" s="217">
        <v>45261</v>
      </c>
      <c r="BK1" s="217">
        <v>45292</v>
      </c>
      <c r="BL1" s="217">
        <v>45323</v>
      </c>
      <c r="BM1" s="217">
        <v>45352</v>
      </c>
      <c r="BN1" s="217">
        <v>45383</v>
      </c>
      <c r="BO1" s="217">
        <v>45413</v>
      </c>
      <c r="BP1" s="217">
        <v>45444</v>
      </c>
      <c r="BQ1" s="217">
        <v>45474</v>
      </c>
      <c r="BR1" s="217">
        <v>45505</v>
      </c>
      <c r="BS1" s="217">
        <v>45536</v>
      </c>
      <c r="BT1" s="217">
        <v>45566</v>
      </c>
      <c r="BU1" s="217">
        <v>45597</v>
      </c>
      <c r="BV1" s="217">
        <v>45627</v>
      </c>
    </row>
    <row r="2" spans="1:74">
      <c r="A2" s="3"/>
      <c r="B2" s="216" t="s">
        <v>132</v>
      </c>
      <c r="C2" s="218" t="s">
        <v>133</v>
      </c>
      <c r="D2" s="219">
        <v>2014</v>
      </c>
      <c r="E2" s="218" t="s">
        <v>134</v>
      </c>
      <c r="F2" s="245">
        <v>119.03</v>
      </c>
      <c r="G2" s="245">
        <v>121.66</v>
      </c>
      <c r="H2" s="245">
        <v>121.92</v>
      </c>
      <c r="I2" s="245">
        <v>121.85</v>
      </c>
      <c r="J2" s="214">
        <v>120.36</v>
      </c>
      <c r="K2" s="214">
        <v>120.64</v>
      </c>
      <c r="L2" s="214">
        <v>121.04</v>
      </c>
      <c r="M2" s="214">
        <v>122.94</v>
      </c>
      <c r="N2" s="214">
        <v>122.17</v>
      </c>
      <c r="O2" s="214">
        <v>120.64</v>
      </c>
      <c r="P2" s="214">
        <v>121.09</v>
      </c>
      <c r="Q2" s="214">
        <v>122.04</v>
      </c>
      <c r="R2" s="214">
        <v>122.53</v>
      </c>
      <c r="S2" s="214">
        <v>120.87</v>
      </c>
      <c r="T2" s="214">
        <v>120.21</v>
      </c>
      <c r="U2" s="214">
        <v>120.63</v>
      </c>
      <c r="V2" s="214">
        <v>121.73</v>
      </c>
      <c r="W2" s="214">
        <v>122.11</v>
      </c>
      <c r="X2" s="232">
        <v>124.03</v>
      </c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</row>
    <row r="3" spans="1:74">
      <c r="A3" s="3"/>
      <c r="B3" s="216" t="s">
        <v>132</v>
      </c>
      <c r="C3" s="218" t="s">
        <v>133</v>
      </c>
      <c r="D3" s="219">
        <v>2014</v>
      </c>
      <c r="E3" s="218" t="s">
        <v>55</v>
      </c>
      <c r="F3" s="245">
        <v>114.68</v>
      </c>
      <c r="G3" s="245">
        <v>111.21</v>
      </c>
      <c r="H3" s="245">
        <v>109.41</v>
      </c>
      <c r="I3" s="245">
        <v>110.41</v>
      </c>
      <c r="J3" s="214">
        <v>110.28</v>
      </c>
      <c r="K3" s="214">
        <v>111.8</v>
      </c>
      <c r="L3" s="214">
        <v>111.47</v>
      </c>
      <c r="M3" s="214">
        <v>121.61</v>
      </c>
      <c r="N3" s="214">
        <v>123.2</v>
      </c>
      <c r="O3" s="214">
        <v>120.56</v>
      </c>
      <c r="P3" s="214">
        <v>117.52</v>
      </c>
      <c r="Q3" s="214">
        <v>113.61</v>
      </c>
      <c r="R3" s="214">
        <v>113.09</v>
      </c>
      <c r="S3" s="214">
        <v>112.9</v>
      </c>
      <c r="T3" s="214">
        <v>118.53</v>
      </c>
      <c r="U3" s="214">
        <v>128.51</v>
      </c>
      <c r="V3" s="214">
        <v>132.43</v>
      </c>
      <c r="W3" s="214">
        <v>134.16999999999999</v>
      </c>
      <c r="X3" s="232">
        <v>137.46</v>
      </c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</row>
    <row r="4" spans="1:74">
      <c r="A4" s="3"/>
      <c r="B4" s="216" t="s">
        <v>132</v>
      </c>
      <c r="C4" s="218" t="s">
        <v>133</v>
      </c>
      <c r="D4" s="219">
        <v>2014</v>
      </c>
      <c r="E4" s="218" t="s">
        <v>135</v>
      </c>
      <c r="F4" s="245">
        <v>113.9</v>
      </c>
      <c r="G4" s="245">
        <v>115.29</v>
      </c>
      <c r="H4" s="245">
        <v>114.72</v>
      </c>
      <c r="I4" s="245">
        <v>113.81</v>
      </c>
      <c r="J4" s="214">
        <v>111.77</v>
      </c>
      <c r="K4" s="214">
        <v>111.8</v>
      </c>
      <c r="L4" s="214">
        <v>111.3</v>
      </c>
      <c r="M4" s="214">
        <v>113.59</v>
      </c>
      <c r="N4" s="214">
        <v>113.6</v>
      </c>
      <c r="O4" s="214">
        <v>114.34</v>
      </c>
      <c r="P4" s="214">
        <v>115.57</v>
      </c>
      <c r="Q4" s="214">
        <v>116.94</v>
      </c>
      <c r="R4" s="214">
        <v>117.16</v>
      </c>
      <c r="S4" s="214">
        <v>115.85</v>
      </c>
      <c r="T4" s="214">
        <v>114.99</v>
      </c>
      <c r="U4" s="214">
        <v>115.31</v>
      </c>
      <c r="V4" s="214">
        <v>115.96</v>
      </c>
      <c r="W4" s="214">
        <v>116.13</v>
      </c>
      <c r="X4" s="232">
        <v>117.05</v>
      </c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</row>
    <row r="5" spans="1:74">
      <c r="A5" s="3"/>
      <c r="B5" s="222" t="s">
        <v>136</v>
      </c>
      <c r="C5" s="231" t="s">
        <v>137</v>
      </c>
      <c r="D5" s="219" t="s">
        <v>138</v>
      </c>
      <c r="E5" s="224" t="s">
        <v>139</v>
      </c>
      <c r="F5" s="245">
        <v>554.19000000000005</v>
      </c>
      <c r="G5" s="245">
        <v>556.15</v>
      </c>
      <c r="H5" s="245">
        <v>524.29999999999995</v>
      </c>
      <c r="I5" s="245">
        <v>524.04</v>
      </c>
      <c r="J5" s="214">
        <v>506.08</v>
      </c>
      <c r="K5" s="214">
        <v>513.98</v>
      </c>
      <c r="L5" s="214">
        <v>529.58000000000004</v>
      </c>
      <c r="M5" s="214">
        <v>502.43</v>
      </c>
      <c r="N5" s="214">
        <v>534.09</v>
      </c>
      <c r="O5" s="214">
        <v>537.61</v>
      </c>
      <c r="P5" s="214">
        <v>464.01</v>
      </c>
      <c r="Q5" s="214">
        <v>391.79</v>
      </c>
      <c r="R5" s="214">
        <v>278.58</v>
      </c>
      <c r="S5" s="214">
        <v>241.22</v>
      </c>
      <c r="T5" s="214">
        <v>293.10000000000002</v>
      </c>
      <c r="U5" s="214">
        <v>341.45</v>
      </c>
      <c r="V5" s="214">
        <v>347.77</v>
      </c>
      <c r="W5" s="214">
        <v>333.89</v>
      </c>
      <c r="X5" s="188">
        <v>316.10000000000002</v>
      </c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4"/>
      <c r="BU5" s="214"/>
      <c r="BV5" s="214"/>
    </row>
    <row r="6" spans="1:74" s="189" customFormat="1">
      <c r="B6" s="222" t="s">
        <v>140</v>
      </c>
      <c r="C6" s="231" t="s">
        <v>138</v>
      </c>
      <c r="D6" s="225" t="s">
        <v>138</v>
      </c>
      <c r="E6" s="224" t="s">
        <v>138</v>
      </c>
      <c r="F6" s="236">
        <v>0</v>
      </c>
      <c r="G6" s="236">
        <v>0</v>
      </c>
      <c r="H6" s="236">
        <v>0</v>
      </c>
      <c r="I6" s="236">
        <v>0</v>
      </c>
      <c r="J6" s="234">
        <v>0</v>
      </c>
      <c r="K6" s="234">
        <v>0</v>
      </c>
      <c r="L6" s="234">
        <v>0</v>
      </c>
      <c r="M6" s="234">
        <v>0</v>
      </c>
      <c r="N6" s="235">
        <f>IFERROR(AVERAGE(F5:K5),0)</f>
        <v>529.79000000000008</v>
      </c>
      <c r="O6" s="235">
        <f t="shared" ref="O6:BV6" si="0">IFERROR(AVERAGE(G5:L5),0)</f>
        <v>525.68833333333328</v>
      </c>
      <c r="P6" s="235">
        <f t="shared" si="0"/>
        <v>516.7349999999999</v>
      </c>
      <c r="Q6" s="235">
        <f t="shared" si="0"/>
        <v>518.36666666666667</v>
      </c>
      <c r="R6" s="235">
        <f t="shared" si="0"/>
        <v>520.62833333333333</v>
      </c>
      <c r="S6" s="235">
        <f t="shared" si="0"/>
        <v>513.61666666666667</v>
      </c>
      <c r="T6" s="235">
        <f t="shared" si="0"/>
        <v>493.25166666666672</v>
      </c>
      <c r="U6" s="235">
        <f t="shared" si="0"/>
        <v>451.41833333333335</v>
      </c>
      <c r="V6" s="235">
        <f t="shared" si="0"/>
        <v>407.88333333333327</v>
      </c>
      <c r="W6" s="235">
        <f t="shared" si="0"/>
        <v>367.71833333333331</v>
      </c>
      <c r="X6" s="235">
        <f t="shared" si="0"/>
        <v>335.02499999999998</v>
      </c>
      <c r="Y6" s="235">
        <f t="shared" si="0"/>
        <v>315.6516666666667</v>
      </c>
      <c r="Z6" s="235">
        <f t="shared" si="0"/>
        <v>306.00166666666661</v>
      </c>
      <c r="AA6" s="235">
        <f t="shared" si="0"/>
        <v>312.25499999999994</v>
      </c>
      <c r="AB6" s="235">
        <f t="shared" si="0"/>
        <v>326.46199999999999</v>
      </c>
      <c r="AC6" s="235">
        <f t="shared" si="0"/>
        <v>334.80250000000001</v>
      </c>
      <c r="AD6" s="235">
        <f t="shared" si="0"/>
        <v>332.58666666666664</v>
      </c>
      <c r="AE6" s="235">
        <f t="shared" si="0"/>
        <v>324.995</v>
      </c>
      <c r="AF6" s="235">
        <f t="shared" si="0"/>
        <v>316.10000000000002</v>
      </c>
      <c r="AG6" s="235">
        <f t="shared" si="0"/>
        <v>0</v>
      </c>
      <c r="AH6" s="235">
        <f t="shared" si="0"/>
        <v>0</v>
      </c>
      <c r="AI6" s="235">
        <f t="shared" si="0"/>
        <v>0</v>
      </c>
      <c r="AJ6" s="235">
        <f t="shared" si="0"/>
        <v>0</v>
      </c>
      <c r="AK6" s="235">
        <f t="shared" si="0"/>
        <v>0</v>
      </c>
      <c r="AL6" s="235">
        <f t="shared" si="0"/>
        <v>0</v>
      </c>
      <c r="AM6" s="235">
        <f t="shared" si="0"/>
        <v>0</v>
      </c>
      <c r="AN6" s="235">
        <f t="shared" si="0"/>
        <v>0</v>
      </c>
      <c r="AO6" s="235">
        <f t="shared" si="0"/>
        <v>0</v>
      </c>
      <c r="AP6" s="235">
        <f t="shared" si="0"/>
        <v>0</v>
      </c>
      <c r="AQ6" s="235">
        <f t="shared" si="0"/>
        <v>0</v>
      </c>
      <c r="AR6" s="235">
        <f t="shared" si="0"/>
        <v>0</v>
      </c>
      <c r="AS6" s="235">
        <f t="shared" si="0"/>
        <v>0</v>
      </c>
      <c r="AT6" s="235">
        <f t="shared" si="0"/>
        <v>0</v>
      </c>
      <c r="AU6" s="235">
        <f t="shared" si="0"/>
        <v>0</v>
      </c>
      <c r="AV6" s="235">
        <f t="shared" si="0"/>
        <v>0</v>
      </c>
      <c r="AW6" s="235">
        <f t="shared" si="0"/>
        <v>0</v>
      </c>
      <c r="AX6" s="235">
        <f t="shared" si="0"/>
        <v>0</v>
      </c>
      <c r="AY6" s="235">
        <f t="shared" si="0"/>
        <v>0</v>
      </c>
      <c r="AZ6" s="235">
        <f t="shared" si="0"/>
        <v>0</v>
      </c>
      <c r="BA6" s="235">
        <f t="shared" si="0"/>
        <v>0</v>
      </c>
      <c r="BB6" s="235">
        <f t="shared" si="0"/>
        <v>0</v>
      </c>
      <c r="BC6" s="235">
        <f t="shared" si="0"/>
        <v>0</v>
      </c>
      <c r="BD6" s="235">
        <f t="shared" si="0"/>
        <v>0</v>
      </c>
      <c r="BE6" s="235">
        <f t="shared" si="0"/>
        <v>0</v>
      </c>
      <c r="BF6" s="235">
        <f t="shared" si="0"/>
        <v>0</v>
      </c>
      <c r="BG6" s="235">
        <f t="shared" si="0"/>
        <v>0</v>
      </c>
      <c r="BH6" s="235">
        <f t="shared" si="0"/>
        <v>0</v>
      </c>
      <c r="BI6" s="235">
        <f t="shared" si="0"/>
        <v>0</v>
      </c>
      <c r="BJ6" s="235">
        <f t="shared" si="0"/>
        <v>0</v>
      </c>
      <c r="BK6" s="235">
        <f t="shared" si="0"/>
        <v>0</v>
      </c>
      <c r="BL6" s="235">
        <f t="shared" si="0"/>
        <v>0</v>
      </c>
      <c r="BM6" s="235">
        <f t="shared" si="0"/>
        <v>0</v>
      </c>
      <c r="BN6" s="235">
        <f t="shared" si="0"/>
        <v>0</v>
      </c>
      <c r="BO6" s="235">
        <f t="shared" si="0"/>
        <v>0</v>
      </c>
      <c r="BP6" s="235">
        <f t="shared" si="0"/>
        <v>0</v>
      </c>
      <c r="BQ6" s="235">
        <f t="shared" si="0"/>
        <v>0</v>
      </c>
      <c r="BR6" s="235">
        <f t="shared" si="0"/>
        <v>0</v>
      </c>
      <c r="BS6" s="235">
        <f t="shared" si="0"/>
        <v>0</v>
      </c>
      <c r="BT6" s="235">
        <f t="shared" si="0"/>
        <v>0</v>
      </c>
      <c r="BU6" s="235">
        <f t="shared" si="0"/>
        <v>0</v>
      </c>
      <c r="BV6" s="235">
        <f t="shared" si="0"/>
        <v>0</v>
      </c>
    </row>
    <row r="7" spans="1:74">
      <c r="A7" s="3"/>
      <c r="B7" s="216" t="s">
        <v>141</v>
      </c>
      <c r="C7" s="218" t="s">
        <v>142</v>
      </c>
      <c r="D7" s="219" t="s">
        <v>138</v>
      </c>
      <c r="E7" s="218" t="s">
        <v>138</v>
      </c>
      <c r="F7" s="246">
        <v>667.39904761904756</v>
      </c>
      <c r="G7" s="246">
        <v>692.00380952380954</v>
      </c>
      <c r="H7" s="246">
        <v>692.40899999999999</v>
      </c>
      <c r="I7" s="246">
        <v>686.0595454545454</v>
      </c>
      <c r="J7" s="220">
        <v>713.70333333333338</v>
      </c>
      <c r="K7" s="220">
        <v>718.4422222222222</v>
      </c>
      <c r="L7" s="220">
        <v>721.0322727272727</v>
      </c>
      <c r="M7" s="220">
        <v>776.53</v>
      </c>
      <c r="N7" s="220">
        <v>770.39</v>
      </c>
      <c r="O7" s="220">
        <v>772.64772727272725</v>
      </c>
      <c r="P7" s="220">
        <v>796.38</v>
      </c>
      <c r="Q7" s="220">
        <v>839.37545454545455</v>
      </c>
      <c r="R7" s="220">
        <v>853.37904761904758</v>
      </c>
      <c r="S7" s="220">
        <v>821.80526315789473</v>
      </c>
      <c r="T7" s="220">
        <v>793.7180952380952</v>
      </c>
      <c r="U7" s="220">
        <v>784.72909090909093</v>
      </c>
      <c r="V7" s="220">
        <v>784.66190476190479</v>
      </c>
      <c r="W7" s="220">
        <v>773.40238095238101</v>
      </c>
      <c r="X7" s="233">
        <v>788.26714285714286</v>
      </c>
      <c r="Y7" s="220">
        <v>759.75400000000002</v>
      </c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</row>
    <row r="8" spans="1:74">
      <c r="A8" s="3"/>
      <c r="B8" s="216" t="s">
        <v>143</v>
      </c>
      <c r="C8" s="218" t="s">
        <v>144</v>
      </c>
      <c r="D8" s="219">
        <v>1982</v>
      </c>
      <c r="E8" s="218" t="s">
        <v>145</v>
      </c>
      <c r="F8" s="245">
        <v>221.2</v>
      </c>
      <c r="G8" s="245">
        <v>221.2</v>
      </c>
      <c r="H8" s="245">
        <v>221.2</v>
      </c>
      <c r="I8" s="245">
        <v>221.2</v>
      </c>
      <c r="J8" s="214">
        <v>221.2</v>
      </c>
      <c r="K8" s="214">
        <v>221.3</v>
      </c>
      <c r="L8" s="214">
        <v>221.3</v>
      </c>
      <c r="M8" s="214">
        <v>221.3</v>
      </c>
      <c r="N8" s="214">
        <v>222.7</v>
      </c>
      <c r="O8" s="214">
        <v>223.6</v>
      </c>
      <c r="P8" s="214">
        <v>222.2</v>
      </c>
      <c r="Q8" s="214">
        <v>222.2</v>
      </c>
      <c r="R8" s="214">
        <v>222.2</v>
      </c>
      <c r="S8" s="214">
        <v>222.2</v>
      </c>
      <c r="T8" s="214">
        <v>222.2</v>
      </c>
      <c r="U8" s="214">
        <v>222.2</v>
      </c>
      <c r="V8" s="214">
        <v>222.2</v>
      </c>
      <c r="W8" s="214">
        <v>222.3</v>
      </c>
      <c r="X8" s="232">
        <v>223</v>
      </c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</row>
    <row r="9" spans="1:74">
      <c r="A9" s="3"/>
      <c r="B9" s="216" t="s">
        <v>146</v>
      </c>
      <c r="C9" s="218" t="s">
        <v>147</v>
      </c>
      <c r="D9" s="219">
        <v>2018</v>
      </c>
      <c r="E9" s="218" t="s">
        <v>148</v>
      </c>
      <c r="F9" s="245">
        <v>101.54</v>
      </c>
      <c r="G9" s="245">
        <v>102.15</v>
      </c>
      <c r="H9" s="245">
        <v>102.2</v>
      </c>
      <c r="I9" s="245">
        <v>102.43</v>
      </c>
      <c r="J9" s="214">
        <v>102.62</v>
      </c>
      <c r="K9" s="214">
        <v>102.63</v>
      </c>
      <c r="L9" s="214">
        <v>103.47</v>
      </c>
      <c r="M9" s="214">
        <v>103.55</v>
      </c>
      <c r="N9" s="214">
        <v>103.66</v>
      </c>
      <c r="O9" s="214">
        <v>104.24</v>
      </c>
      <c r="P9" s="214">
        <v>104.71</v>
      </c>
      <c r="Q9" s="214">
        <v>105.06</v>
      </c>
      <c r="R9" s="214">
        <v>105.01</v>
      </c>
      <c r="S9" s="214">
        <v>104.96</v>
      </c>
      <c r="T9" s="214">
        <v>104.89</v>
      </c>
      <c r="U9" s="214">
        <v>104.99</v>
      </c>
      <c r="V9" s="214">
        <v>105.13</v>
      </c>
      <c r="W9" s="214">
        <v>105.8</v>
      </c>
      <c r="X9" s="232">
        <v>106.52</v>
      </c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</row>
    <row r="10" spans="1:74">
      <c r="A10" s="3"/>
      <c r="B10" s="3"/>
      <c r="C10" s="6"/>
      <c r="D10" s="6"/>
      <c r="E10" s="6"/>
      <c r="F10" s="6"/>
      <c r="G10" s="6"/>
      <c r="H10" s="6"/>
      <c r="I10" s="6"/>
    </row>
    <row r="11" spans="1:74">
      <c r="A11" s="3"/>
      <c r="B11" s="3"/>
      <c r="J11" s="3"/>
      <c r="K11" s="3"/>
      <c r="L11" s="3"/>
      <c r="M11" s="3"/>
      <c r="N11" s="3"/>
      <c r="O11" s="3"/>
      <c r="P11" s="3"/>
    </row>
    <row r="12" spans="1:74">
      <c r="A12" s="3"/>
      <c r="B12" s="3"/>
      <c r="J12" s="3"/>
      <c r="K12" s="3"/>
    </row>
  </sheetData>
  <sheetProtection algorithmName="SHA-512" hashValue="1rjFnAebeJHP3Q4D2revG/fXyz4X21QxtfanZSoqlxAHT24/PnkwoJMwdc2ceM7RHTQFIqFyG91O8fZ7/wXdxA==" saltValue="EvItLuPuevaiZl56a0mAeQ==" spinCount="100000" sheet="1" objects="1" scenarios="1" formatCells="0" formatColumns="0" formatRows="0"/>
  <dataValidations count="2">
    <dataValidation allowBlank="1" showInputMessage="1" showErrorMessage="1" prompt="Descargar archivo en sección &quot;Índice de precios de Combustibles&quot;" sqref="C5" xr:uid="{937BBA68-56AD-4142-8462-0BAEDA65951A}"/>
    <dataValidation allowBlank="1" showInputMessage="1" showErrorMessage="1" prompt="Valor calculado, se actualiza solo al ingresar datos en fila 5 &quot;PRECIO DIESEL (US$/M3)" sqref="B6:BV6" xr:uid="{F443FD5A-E9FB-40D1-A1C3-709A35AAE4CA}"/>
  </dataValidations>
  <pageMargins left="0.7" right="0.7" top="0.75" bottom="0.75" header="0.3" footer="0.3"/>
  <ignoredErrors>
    <ignoredError sqref="M6:AG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0EB8-1422-40E3-BC8B-D56924ED98B9}">
  <sheetPr codeName="Hoja2"/>
  <dimension ref="B1:BE336"/>
  <sheetViews>
    <sheetView showGridLines="0" zoomScale="90" zoomScaleNormal="90" workbookViewId="0">
      <pane xSplit="2" ySplit="1" topLeftCell="I2" activePane="bottomRight" state="frozen"/>
      <selection pane="bottomRight" activeCell="I2" sqref="I2"/>
      <selection pane="bottomLeft" activeCell="A2" sqref="A2"/>
      <selection pane="topRight" activeCell="C1" sqref="C1"/>
    </sheetView>
  </sheetViews>
  <sheetFormatPr defaultColWidth="11.42578125" defaultRowHeight="14.45"/>
  <cols>
    <col min="1" max="1" width="3.85546875" style="189" customWidth="1"/>
    <col min="2" max="2" width="45.85546875" style="189" customWidth="1"/>
    <col min="3" max="3" width="21.28515625" style="189" bestFit="1" customWidth="1"/>
    <col min="4" max="4" width="21.28515625" style="189" customWidth="1"/>
    <col min="5" max="5" width="6.85546875" style="189" customWidth="1"/>
    <col min="6" max="6" width="24.5703125" style="189" bestFit="1" customWidth="1"/>
    <col min="7" max="7" width="28.42578125" style="189" customWidth="1"/>
    <col min="8" max="8" width="11.42578125" style="189" bestFit="1" customWidth="1"/>
    <col min="9" max="10" width="14.5703125" style="204" customWidth="1"/>
    <col min="11" max="16384" width="11.42578125" style="189"/>
  </cols>
  <sheetData>
    <row r="1" spans="2:57">
      <c r="B1" s="221"/>
      <c r="C1" s="222" t="s">
        <v>149</v>
      </c>
      <c r="D1" s="222" t="s">
        <v>130</v>
      </c>
      <c r="E1" s="222" t="s">
        <v>131</v>
      </c>
      <c r="F1" s="222" t="s">
        <v>54</v>
      </c>
      <c r="G1" s="222" t="s">
        <v>150</v>
      </c>
      <c r="H1" s="223">
        <v>43800</v>
      </c>
      <c r="I1" s="223">
        <f>IF(INDEX('Mes Año Costo de Falla'!$B:$B,3,1)="","",INDEX('Mes Año Costo de Falla'!$B:$B,3,1))</f>
        <v>44013</v>
      </c>
      <c r="J1" s="223">
        <f>IF(INDEX('Mes Año Costo de Falla'!$B:$B,4,1)="","",INDEX('Mes Año Costo de Falla'!$B:$B,4,1))</f>
        <v>44166</v>
      </c>
      <c r="K1" s="223" t="str">
        <f>IF(INDEX('Mes Año Costo de Falla'!$B:$B,5,1)="","",INDEX('Mes Año Costo de Falla'!$B:$B,5,1))</f>
        <v/>
      </c>
      <c r="L1" s="223" t="str">
        <f>IF(INDEX('Mes Año Costo de Falla'!$B:$B,6,1)="","",INDEX('Mes Año Costo de Falla'!$B:$B,6,1))</f>
        <v/>
      </c>
      <c r="M1" s="223" t="str">
        <f>IF(INDEX('Mes Año Costo de Falla'!$B:$B,7,1)="","",INDEX('Mes Año Costo de Falla'!$B:$B,7,1))</f>
        <v/>
      </c>
      <c r="N1" s="223" t="str">
        <f>IF(INDEX('Mes Año Costo de Falla'!$B:$B,8,1)="","",INDEX('Mes Año Costo de Falla'!$B:$B,8,1))</f>
        <v/>
      </c>
      <c r="O1" s="223" t="str">
        <f>IF(INDEX('Mes Año Costo de Falla'!$B:$B,9,1)="","",INDEX('Mes Año Costo de Falla'!$B:$B,9,1))</f>
        <v/>
      </c>
      <c r="P1" s="223" t="str">
        <f>IF(INDEX('Mes Año Costo de Falla'!$B:$B,10,1)="","",INDEX('Mes Año Costo de Falla'!$B:$B,10,1))</f>
        <v/>
      </c>
      <c r="Q1" s="223" t="str">
        <f>IF(INDEX('Mes Año Costo de Falla'!$B:$B,11,1)="","",INDEX('Mes Año Costo de Falla'!$B:$B,11,1))</f>
        <v/>
      </c>
      <c r="R1" s="223" t="str">
        <f>IF(INDEX('Mes Año Costo de Falla'!$B:$B,12,1)="","",INDEX('Mes Año Costo de Falla'!$B:$B,12,1))</f>
        <v/>
      </c>
      <c r="S1" s="223" t="str">
        <f>IF(INDEX('Mes Año Costo de Falla'!$B:$B,13,1)="","",INDEX('Mes Año Costo de Falla'!$B:$B,13,1))</f>
        <v/>
      </c>
      <c r="T1" s="223" t="str">
        <f>IF(INDEX('Mes Año Costo de Falla'!$B:$B,14,1)="","",INDEX('Mes Año Costo de Falla'!$B:$B,14,1))</f>
        <v/>
      </c>
      <c r="U1" s="223" t="str">
        <f>IF(INDEX('Mes Año Costo de Falla'!$B:$B,15,1)="","",INDEX('Mes Año Costo de Falla'!$B:$B,15,1))</f>
        <v/>
      </c>
      <c r="V1" s="223" t="str">
        <f>IF(INDEX('Mes Año Costo de Falla'!$B:$B,16,1)="","",INDEX('Mes Año Costo de Falla'!$B:$B,16,1))</f>
        <v/>
      </c>
      <c r="W1" s="223" t="str">
        <f>IF(INDEX('Mes Año Costo de Falla'!$B:$B,17,1)="","",INDEX('Mes Año Costo de Falla'!$B:$B,17,1))</f>
        <v/>
      </c>
      <c r="X1" s="223" t="str">
        <f>IF(INDEX('Mes Año Costo de Falla'!$B:$B,18,1)="","",INDEX('Mes Año Costo de Falla'!$B:$B,18,1))</f>
        <v/>
      </c>
      <c r="Y1" s="223" t="str">
        <f>IF(INDEX('Mes Año Costo de Falla'!$B:$B,19,1)="","",INDEX('Mes Año Costo de Falla'!$B:$B,19,1))</f>
        <v/>
      </c>
      <c r="Z1" s="223" t="str">
        <f>IF(INDEX('Mes Año Costo de Falla'!$B:$B,20,1)="","",INDEX('Mes Año Costo de Falla'!$B:$B,20,1))</f>
        <v/>
      </c>
      <c r="AA1" s="223" t="str">
        <f>IF(INDEX('Mes Año Costo de Falla'!$B:$B,21,1)="","",INDEX('Mes Año Costo de Falla'!$B:$B,21,1))</f>
        <v/>
      </c>
      <c r="AB1" s="223" t="str">
        <f>IF(INDEX('Mes Año Costo de Falla'!$B:$B,22,1)="","",INDEX('Mes Año Costo de Falla'!$B:$B,22,1))</f>
        <v/>
      </c>
      <c r="AC1" s="223" t="str">
        <f>IF(INDEX('Mes Año Costo de Falla'!$B:$B,23,1)="","",INDEX('Mes Año Costo de Falla'!$B:$B,23,1))</f>
        <v/>
      </c>
      <c r="AD1" s="223" t="str">
        <f>IF(INDEX('Mes Año Costo de Falla'!$B:$B,24,1)="","",INDEX('Mes Año Costo de Falla'!$B:$B,24,1))</f>
        <v/>
      </c>
      <c r="AE1" s="223" t="str">
        <f>IF(INDEX('Mes Año Costo de Falla'!$B:$B,25,1)="","",INDEX('Mes Año Costo de Falla'!$B:$B,25,1))</f>
        <v/>
      </c>
      <c r="AF1" s="223" t="str">
        <f>IF(INDEX('Mes Año Costo de Falla'!$B:$B,26,1)="","",INDEX('Mes Año Costo de Falla'!$B:$B,26,1))</f>
        <v/>
      </c>
      <c r="AG1" s="223" t="str">
        <f>IF(INDEX('Mes Año Costo de Falla'!$B:$B,27,1)="","",INDEX('Mes Año Costo de Falla'!$B:$B,27,1))</f>
        <v/>
      </c>
      <c r="AH1" s="223" t="str">
        <f>IF(INDEX('Mes Año Costo de Falla'!$B:$B,28,1)="","",INDEX('Mes Año Costo de Falla'!$B:$B,28,1))</f>
        <v/>
      </c>
      <c r="AI1" s="223" t="str">
        <f>IF(INDEX('Mes Año Costo de Falla'!$B:$B,29,1)="","",INDEX('Mes Año Costo de Falla'!$B:$B,29,1))</f>
        <v/>
      </c>
      <c r="AJ1" s="223" t="str">
        <f>IF(INDEX('Mes Año Costo de Falla'!$B:$B,30,1)="","",INDEX('Mes Año Costo de Falla'!$B:$B,30,1))</f>
        <v/>
      </c>
      <c r="AK1" s="223" t="str">
        <f>IF(INDEX('Mes Año Costo de Falla'!$B:$B,31,1)="","",INDEX('Mes Año Costo de Falla'!$B:$B,31,1))</f>
        <v/>
      </c>
      <c r="AL1" s="223" t="str">
        <f>IF(INDEX('Mes Año Costo de Falla'!$B:$B,32,1)="","",INDEX('Mes Año Costo de Falla'!$B:$B,32,1))</f>
        <v/>
      </c>
      <c r="AM1" s="223" t="str">
        <f>IF(INDEX('Mes Año Costo de Falla'!$B:$B,33,1)="","",INDEX('Mes Año Costo de Falla'!$B:$B,33,1))</f>
        <v/>
      </c>
      <c r="AN1" s="223" t="str">
        <f>IF(INDEX('Mes Año Costo de Falla'!$B:$B,34,1)="","",INDEX('Mes Año Costo de Falla'!$B:$B,34,1))</f>
        <v/>
      </c>
      <c r="AO1" s="223" t="str">
        <f>IF(INDEX('Mes Año Costo de Falla'!$B:$B,35,1)="","",INDEX('Mes Año Costo de Falla'!$B:$B,35,1))</f>
        <v/>
      </c>
      <c r="AP1" s="223" t="str">
        <f>IF(INDEX('Mes Año Costo de Falla'!$B:$B,36,1)="","",INDEX('Mes Año Costo de Falla'!$B:$B,36,1))</f>
        <v/>
      </c>
      <c r="AQ1" s="223" t="str">
        <f>IF(INDEX('Mes Año Costo de Falla'!$B:$B,37,1)="","",INDEX('Mes Año Costo de Falla'!$B:$B,37,1))</f>
        <v/>
      </c>
      <c r="AR1" s="223" t="str">
        <f>IF(INDEX('Mes Año Costo de Falla'!$B:$B,38,1)="","",INDEX('Mes Año Costo de Falla'!$B:$B,38,1))</f>
        <v/>
      </c>
      <c r="AS1" s="223" t="str">
        <f>IF(INDEX('Mes Año Costo de Falla'!$B:$B,39,1)="","",INDEX('Mes Año Costo de Falla'!$B:$B,39,1))</f>
        <v/>
      </c>
      <c r="AT1" s="223" t="str">
        <f>IF(INDEX('Mes Año Costo de Falla'!$B:$B,40,1)="","",INDEX('Mes Año Costo de Falla'!$B:$B,40,1))</f>
        <v/>
      </c>
      <c r="AU1" s="223" t="str">
        <f>IF(INDEX('Mes Año Costo de Falla'!$B:$B,41,1)="","",INDEX('Mes Año Costo de Falla'!$B:$B,41,1))</f>
        <v/>
      </c>
      <c r="AV1" s="223" t="str">
        <f>IF(INDEX('Mes Año Costo de Falla'!$B:$B,42,1)="","",INDEX('Mes Año Costo de Falla'!$B:$B,42,1))</f>
        <v/>
      </c>
      <c r="AW1" s="223" t="str">
        <f>IF(INDEX('Mes Año Costo de Falla'!$B:$B,43,1)="","",INDEX('Mes Año Costo de Falla'!$B:$B,43,1))</f>
        <v/>
      </c>
      <c r="AX1" s="223" t="str">
        <f>IF(INDEX('Mes Año Costo de Falla'!$B:$B,44,1)="","",INDEX('Mes Año Costo de Falla'!$B:$B,44,1))</f>
        <v/>
      </c>
      <c r="AY1" s="223" t="str">
        <f>IF(INDEX('Mes Año Costo de Falla'!$B:$B,45,1)="","",INDEX('Mes Año Costo de Falla'!$B:$B,45,1))</f>
        <v/>
      </c>
      <c r="AZ1" s="223" t="str">
        <f>IF(INDEX('Mes Año Costo de Falla'!$B:$B,46,1)="","",INDEX('Mes Año Costo de Falla'!$B:$B,46,1))</f>
        <v/>
      </c>
      <c r="BA1" s="223" t="str">
        <f>IF(INDEX('Mes Año Costo de Falla'!$B:$B,47,1)="","",INDEX('Mes Año Costo de Falla'!$B:$B,47,1))</f>
        <v/>
      </c>
      <c r="BB1" s="223" t="str">
        <f>IF(INDEX('Mes Año Costo de Falla'!$B:$B,48,1)="","",INDEX('Mes Año Costo de Falla'!$B:$B,48,1))</f>
        <v/>
      </c>
      <c r="BC1" s="223" t="str">
        <f>IF(INDEX('Mes Año Costo de Falla'!$B:$B,49,1)="","",INDEX('Mes Año Costo de Falla'!$B:$B,49,1))</f>
        <v/>
      </c>
      <c r="BD1" s="223" t="str">
        <f>IF(INDEX('Mes Año Costo de Falla'!$B:$B,50,1)="","",INDEX('Mes Año Costo de Falla'!$B:$B,50,1))</f>
        <v/>
      </c>
      <c r="BE1" s="223" t="str">
        <f>IF(INDEX('Mes Año Costo de Falla'!$B:$B,51,1)="","",INDEX('Mes Año Costo de Falla'!$B:$B,51,1))</f>
        <v/>
      </c>
    </row>
    <row r="2" spans="2:57">
      <c r="B2" s="222" t="s">
        <v>132</v>
      </c>
      <c r="C2" s="240" t="s">
        <v>151</v>
      </c>
      <c r="D2" s="224" t="s">
        <v>133</v>
      </c>
      <c r="E2" s="225">
        <v>2014</v>
      </c>
      <c r="F2" s="224" t="s">
        <v>134</v>
      </c>
      <c r="G2" s="224" t="s">
        <v>152</v>
      </c>
      <c r="H2" s="230" cm="1">
        <f t="array" ref="H2">IFERROR(INDEX('Ingreso Index Min, Indus y Serv'!$J2:$XFD2,MATCH(H$1,'Ingreso Index Min, Indus y Serv'!$J$1:$XFD$1,0)-4),0)</f>
        <v>120.36</v>
      </c>
      <c r="I2" s="230" cm="1">
        <f t="array" ref="I2">IFERROR(INDEX('Ingreso Index Min, Indus y Serv'!$J2:$XFD2,MATCH(I$1,'Ingreso Index Min, Indus y Serv'!$J$1:$XFD$1,0)-4),0)</f>
        <v>122.04</v>
      </c>
      <c r="J2" s="230" cm="1">
        <f t="array" ref="J2">IFERROR(INDEX('Ingreso Index Min, Indus y Serv'!$J2:$XFD2,MATCH(J$1,'Ingreso Index Min, Indus y Serv'!$J$1:$XFD$1,0)-4),0)</f>
        <v>121.73</v>
      </c>
      <c r="K2" s="230" cm="1">
        <f t="array" ref="K2">IFERROR(INDEX('Ingreso Index Min, Indus y Serv'!$J2:$XFD2,MATCH(K$1,'Ingreso Index Min, Indus y Serv'!$J$1:$XFD$1,0)-4),0)</f>
        <v>0</v>
      </c>
      <c r="L2" s="230" cm="1">
        <f t="array" ref="L2">IFERROR(INDEX('Ingreso Index Min, Indus y Serv'!$J2:$XFD2,MATCH(L$1,'Ingreso Index Min, Indus y Serv'!$J$1:$XFD$1,0)-4),0)</f>
        <v>0</v>
      </c>
      <c r="M2" s="230" cm="1">
        <f t="array" ref="M2">IFERROR(INDEX('Ingreso Index Min, Indus y Serv'!$J2:$XFD2,MATCH(M$1,'Ingreso Index Min, Indus y Serv'!$J$1:$XFD$1,0)-4),0)</f>
        <v>0</v>
      </c>
      <c r="N2" s="230" cm="1">
        <f t="array" ref="N2">IFERROR(INDEX('Ingreso Index Min, Indus y Serv'!$J2:$XFD2,MATCH(N$1,'Ingreso Index Min, Indus y Serv'!$J$1:$XFD$1,0)-4),0)</f>
        <v>0</v>
      </c>
      <c r="O2" s="230" cm="1">
        <f t="array" ref="O2">IFERROR(INDEX('Ingreso Index Min, Indus y Serv'!$J2:$XFD2,MATCH(O$1,'Ingreso Index Min, Indus y Serv'!$J$1:$XFD$1,0)-4),0)</f>
        <v>0</v>
      </c>
      <c r="P2" s="230" cm="1">
        <f t="array" ref="P2">IFERROR(INDEX('Ingreso Index Min, Indus y Serv'!$J2:$XFD2,MATCH(P$1,'Ingreso Index Min, Indus y Serv'!$J$1:$XFD$1,0)-4),0)</f>
        <v>0</v>
      </c>
      <c r="Q2" s="230" cm="1">
        <f t="array" ref="Q2">IFERROR(INDEX('Ingreso Index Min, Indus y Serv'!$J2:$XFD2,MATCH(Q$1,'Ingreso Index Min, Indus y Serv'!$J$1:$XFD$1,0)-4),0)</f>
        <v>0</v>
      </c>
      <c r="R2" s="230" cm="1">
        <f t="array" ref="R2">IFERROR(INDEX('Ingreso Index Min, Indus y Serv'!$J2:$XFD2,MATCH(R$1,'Ingreso Index Min, Indus y Serv'!$J$1:$XFD$1,0)-4),0)</f>
        <v>0</v>
      </c>
      <c r="S2" s="230" cm="1">
        <f t="array" ref="S2">IFERROR(INDEX('Ingreso Index Min, Indus y Serv'!$J2:$XFD2,MATCH(S$1,'Ingreso Index Min, Indus y Serv'!$J$1:$XFD$1,0)-4),0)</f>
        <v>0</v>
      </c>
      <c r="T2" s="230" cm="1">
        <f t="array" ref="T2">IFERROR(INDEX('Ingreso Index Min, Indus y Serv'!$J2:$XFD2,MATCH(T$1,'Ingreso Index Min, Indus y Serv'!$J$1:$XFD$1,0)-4),0)</f>
        <v>0</v>
      </c>
      <c r="U2" s="230" cm="1">
        <f t="array" ref="U2">IFERROR(INDEX('Ingreso Index Min, Indus y Serv'!$J2:$XFD2,MATCH(U$1,'Ingreso Index Min, Indus y Serv'!$J$1:$XFD$1,0)-4),0)</f>
        <v>0</v>
      </c>
      <c r="V2" s="230" cm="1">
        <f t="array" ref="V2">IFERROR(INDEX('Ingreso Index Min, Indus y Serv'!$J2:$XFD2,MATCH(V$1,'Ingreso Index Min, Indus y Serv'!$J$1:$XFD$1,0)-4),0)</f>
        <v>0</v>
      </c>
      <c r="W2" s="230" cm="1">
        <f t="array" ref="W2">IFERROR(INDEX('Ingreso Index Min, Indus y Serv'!$J2:$XFD2,MATCH(W$1,'Ingreso Index Min, Indus y Serv'!$J$1:$XFD$1,0)-4),0)</f>
        <v>0</v>
      </c>
      <c r="X2" s="230" cm="1">
        <f t="array" ref="X2">IFERROR(INDEX('Ingreso Index Min, Indus y Serv'!$J2:$XFD2,MATCH(X$1,'Ingreso Index Min, Indus y Serv'!$J$1:$XFD$1,0)-4),0)</f>
        <v>0</v>
      </c>
      <c r="Y2" s="230" cm="1">
        <f t="array" ref="Y2">IFERROR(INDEX('Ingreso Index Min, Indus y Serv'!$J2:$XFD2,MATCH(Y$1,'Ingreso Index Min, Indus y Serv'!$J$1:$XFD$1,0)-4),0)</f>
        <v>0</v>
      </c>
      <c r="Z2" s="230" cm="1">
        <f t="array" ref="Z2">IFERROR(INDEX('Ingreso Index Min, Indus y Serv'!$J2:$XFD2,MATCH(Z$1,'Ingreso Index Min, Indus y Serv'!$J$1:$XFD$1,0)-4),0)</f>
        <v>0</v>
      </c>
      <c r="AA2" s="230" cm="1">
        <f t="array" ref="AA2">IFERROR(INDEX('Ingreso Index Min, Indus y Serv'!$J2:$XFD2,MATCH(AA$1,'Ingreso Index Min, Indus y Serv'!$J$1:$XFD$1,0)-4),0)</f>
        <v>0</v>
      </c>
      <c r="AB2" s="230" cm="1">
        <f t="array" ref="AB2">IFERROR(INDEX('Ingreso Index Min, Indus y Serv'!$J2:$XFD2,MATCH(AB$1,'Ingreso Index Min, Indus y Serv'!$J$1:$XFD$1,0)-4),0)</f>
        <v>0</v>
      </c>
      <c r="AC2" s="230" cm="1">
        <f t="array" ref="AC2">IFERROR(INDEX('Ingreso Index Min, Indus y Serv'!$J2:$XFD2,MATCH(AC$1,'Ingreso Index Min, Indus y Serv'!$J$1:$XFD$1,0)-4),0)</f>
        <v>0</v>
      </c>
      <c r="AD2" s="230" cm="1">
        <f t="array" ref="AD2">IFERROR(INDEX('Ingreso Index Min, Indus y Serv'!$J2:$XFD2,MATCH(AD$1,'Ingreso Index Min, Indus y Serv'!$J$1:$XFD$1,0)-4),0)</f>
        <v>0</v>
      </c>
      <c r="AE2" s="230" cm="1">
        <f t="array" ref="AE2">IFERROR(INDEX('Ingreso Index Min, Indus y Serv'!$J2:$XFD2,MATCH(AE$1,'Ingreso Index Min, Indus y Serv'!$J$1:$XFD$1,0)-4),0)</f>
        <v>0</v>
      </c>
      <c r="AF2" s="230" cm="1">
        <f t="array" ref="AF2">IFERROR(INDEX('Ingreso Index Min, Indus y Serv'!$J2:$XFD2,MATCH(AF$1,'Ingreso Index Min, Indus y Serv'!$J$1:$XFD$1,0)-4),0)</f>
        <v>0</v>
      </c>
      <c r="AG2" s="230" cm="1">
        <f t="array" ref="AG2">IFERROR(INDEX('Ingreso Index Min, Indus y Serv'!$J2:$XFD2,MATCH(AG$1,'Ingreso Index Min, Indus y Serv'!$J$1:$XFD$1,0)-4),0)</f>
        <v>0</v>
      </c>
      <c r="AH2" s="230" cm="1">
        <f t="array" ref="AH2">IFERROR(INDEX('Ingreso Index Min, Indus y Serv'!$J2:$XFD2,MATCH(AH$1,'Ingreso Index Min, Indus y Serv'!$J$1:$XFD$1,0)-4),0)</f>
        <v>0</v>
      </c>
      <c r="AI2" s="230" cm="1">
        <f t="array" ref="AI2">IFERROR(INDEX('Ingreso Index Min, Indus y Serv'!$J2:$XFD2,MATCH(AI$1,'Ingreso Index Min, Indus y Serv'!$J$1:$XFD$1,0)-4),0)</f>
        <v>0</v>
      </c>
      <c r="AJ2" s="230" cm="1">
        <f t="array" ref="AJ2">IFERROR(INDEX('Ingreso Index Min, Indus y Serv'!$J2:$XFD2,MATCH(AJ$1,'Ingreso Index Min, Indus y Serv'!$J$1:$XFD$1,0)-4),0)</f>
        <v>0</v>
      </c>
      <c r="AK2" s="230" cm="1">
        <f t="array" ref="AK2">IFERROR(INDEX('Ingreso Index Min, Indus y Serv'!$J2:$XFD2,MATCH(AK$1,'Ingreso Index Min, Indus y Serv'!$J$1:$XFD$1,0)-4),0)</f>
        <v>0</v>
      </c>
      <c r="AL2" s="230" cm="1">
        <f t="array" ref="AL2">IFERROR(INDEX('Ingreso Index Min, Indus y Serv'!$J2:$XFD2,MATCH(AL$1,'Ingreso Index Min, Indus y Serv'!$J$1:$XFD$1,0)-4),0)</f>
        <v>0</v>
      </c>
      <c r="AM2" s="230" cm="1">
        <f t="array" ref="AM2">IFERROR(INDEX('Ingreso Index Min, Indus y Serv'!$J2:$XFD2,MATCH(AM$1,'Ingreso Index Min, Indus y Serv'!$J$1:$XFD$1,0)-4),0)</f>
        <v>0</v>
      </c>
      <c r="AN2" s="230" cm="1">
        <f t="array" ref="AN2">IFERROR(INDEX('Ingreso Index Min, Indus y Serv'!$J2:$XFD2,MATCH(AN$1,'Ingreso Index Min, Indus y Serv'!$J$1:$XFD$1,0)-4),0)</f>
        <v>0</v>
      </c>
      <c r="AO2" s="230" cm="1">
        <f t="array" ref="AO2">IFERROR(INDEX('Ingreso Index Min, Indus y Serv'!$J2:$XFD2,MATCH(AO$1,'Ingreso Index Min, Indus y Serv'!$J$1:$XFD$1,0)-4),0)</f>
        <v>0</v>
      </c>
      <c r="AP2" s="230" cm="1">
        <f t="array" ref="AP2">IFERROR(INDEX('Ingreso Index Min, Indus y Serv'!$J2:$XFD2,MATCH(AP$1,'Ingreso Index Min, Indus y Serv'!$J$1:$XFD$1,0)-4),0)</f>
        <v>0</v>
      </c>
      <c r="AQ2" s="230" cm="1">
        <f t="array" ref="AQ2">IFERROR(INDEX('Ingreso Index Min, Indus y Serv'!$J2:$XFD2,MATCH(AQ$1,'Ingreso Index Min, Indus y Serv'!$J$1:$XFD$1,0)-4),0)</f>
        <v>0</v>
      </c>
      <c r="AR2" s="230" cm="1">
        <f t="array" ref="AR2">IFERROR(INDEX('Ingreso Index Min, Indus y Serv'!$J2:$XFD2,MATCH(AR$1,'Ingreso Index Min, Indus y Serv'!$J$1:$XFD$1,0)-4),0)</f>
        <v>0</v>
      </c>
      <c r="AS2" s="230" cm="1">
        <f t="array" ref="AS2">IFERROR(INDEX('Ingreso Index Min, Indus y Serv'!$J2:$XFD2,MATCH(AS$1,'Ingreso Index Min, Indus y Serv'!$J$1:$XFD$1,0)-4),0)</f>
        <v>0</v>
      </c>
      <c r="AT2" s="230" cm="1">
        <f t="array" ref="AT2">IFERROR(INDEX('Ingreso Index Min, Indus y Serv'!$J2:$XFD2,MATCH(AT$1,'Ingreso Index Min, Indus y Serv'!$J$1:$XFD$1,0)-4),0)</f>
        <v>0</v>
      </c>
      <c r="AU2" s="230" cm="1">
        <f t="array" ref="AU2">IFERROR(INDEX('Ingreso Index Min, Indus y Serv'!$J2:$XFD2,MATCH(AU$1,'Ingreso Index Min, Indus y Serv'!$J$1:$XFD$1,0)-4),0)</f>
        <v>0</v>
      </c>
      <c r="AV2" s="230" cm="1">
        <f t="array" ref="AV2">IFERROR(INDEX('Ingreso Index Min, Indus y Serv'!$J2:$XFD2,MATCH(AV$1,'Ingreso Index Min, Indus y Serv'!$J$1:$XFD$1,0)-4),0)</f>
        <v>0</v>
      </c>
      <c r="AW2" s="230" cm="1">
        <f t="array" ref="AW2">IFERROR(INDEX('Ingreso Index Min, Indus y Serv'!$J2:$XFD2,MATCH(AW$1,'Ingreso Index Min, Indus y Serv'!$J$1:$XFD$1,0)-4),0)</f>
        <v>0</v>
      </c>
      <c r="AX2" s="230" cm="1">
        <f t="array" ref="AX2">IFERROR(INDEX('Ingreso Index Min, Indus y Serv'!$J2:$XFD2,MATCH(AX$1,'Ingreso Index Min, Indus y Serv'!$J$1:$XFD$1,0)-4),0)</f>
        <v>0</v>
      </c>
      <c r="AY2" s="230" cm="1">
        <f t="array" ref="AY2">IFERROR(INDEX('Ingreso Index Min, Indus y Serv'!$J2:$XFD2,MATCH(AY$1,'Ingreso Index Min, Indus y Serv'!$J$1:$XFD$1,0)-4),0)</f>
        <v>0</v>
      </c>
      <c r="AZ2" s="230" cm="1">
        <f t="array" ref="AZ2">IFERROR(INDEX('Ingreso Index Min, Indus y Serv'!$J2:$XFD2,MATCH(AZ$1,'Ingreso Index Min, Indus y Serv'!$J$1:$XFD$1,0)-4),0)</f>
        <v>0</v>
      </c>
      <c r="BA2" s="230" cm="1">
        <f t="array" ref="BA2">IFERROR(INDEX('Ingreso Index Min, Indus y Serv'!$J2:$XFD2,MATCH(BA$1,'Ingreso Index Min, Indus y Serv'!$J$1:$XFD$1,0)-4),0)</f>
        <v>0</v>
      </c>
      <c r="BB2" s="230" cm="1">
        <f t="array" ref="BB2">IFERROR(INDEX('Ingreso Index Min, Indus y Serv'!$J2:$XFD2,MATCH(BB$1,'Ingreso Index Min, Indus y Serv'!$J$1:$XFD$1,0)-4),0)</f>
        <v>0</v>
      </c>
      <c r="BC2" s="230" cm="1">
        <f t="array" ref="BC2">IFERROR(INDEX('Ingreso Index Min, Indus y Serv'!$J2:$XFD2,MATCH(BC$1,'Ingreso Index Min, Indus y Serv'!$J$1:$XFD$1,0)-4),0)</f>
        <v>0</v>
      </c>
      <c r="BD2" s="230" cm="1">
        <f t="array" ref="BD2">IFERROR(INDEX('Ingreso Index Min, Indus y Serv'!$J2:$XFD2,MATCH(BD$1,'Ingreso Index Min, Indus y Serv'!$J$1:$XFD$1,0)-4),0)</f>
        <v>0</v>
      </c>
      <c r="BE2" s="230" cm="1">
        <f t="array" ref="BE2">IFERROR(INDEX('Ingreso Index Min, Indus y Serv'!$J2:$XFD2,MATCH(BE$1,'Ingreso Index Min, Indus y Serv'!$J$1:$XFD$1,0)-4),0)</f>
        <v>0</v>
      </c>
    </row>
    <row r="3" spans="2:57">
      <c r="B3" s="222" t="s">
        <v>132</v>
      </c>
      <c r="C3" s="240" t="s">
        <v>153</v>
      </c>
      <c r="D3" s="224" t="s">
        <v>133</v>
      </c>
      <c r="E3" s="225">
        <v>2014</v>
      </c>
      <c r="F3" s="224" t="s">
        <v>55</v>
      </c>
      <c r="G3" s="224" t="s">
        <v>152</v>
      </c>
      <c r="H3" s="230" cm="1">
        <f t="array" ref="H3">IFERROR(INDEX('Ingreso Index Min, Indus y Serv'!$J3:$XFD3,MATCH(H$1,'Ingreso Index Min, Indus y Serv'!$J$1:$XFD$1,0)-4),0)</f>
        <v>110.28</v>
      </c>
      <c r="I3" s="230" cm="1">
        <f t="array" ref="I3">IFERROR(INDEX('Ingreso Index Min, Indus y Serv'!$J3:$XFD3,MATCH(I$1,'Ingreso Index Min, Indus y Serv'!$J$1:$XFD$1,0)-4),0)</f>
        <v>113.61</v>
      </c>
      <c r="J3" s="230" cm="1">
        <f t="array" ref="J3">IFERROR(INDEX('Ingreso Index Min, Indus y Serv'!$J3:$XFD3,MATCH(J$1,'Ingreso Index Min, Indus y Serv'!$J$1:$XFD$1,0)-4),0)</f>
        <v>132.43</v>
      </c>
      <c r="K3" s="230" cm="1">
        <f t="array" ref="K3">IFERROR(INDEX('Ingreso Index Min, Indus y Serv'!$J3:$XFD3,MATCH(K$1,'Ingreso Index Min, Indus y Serv'!$J$1:$XFD$1,0)-4),0)</f>
        <v>0</v>
      </c>
      <c r="L3" s="230" cm="1">
        <f t="array" ref="L3">IFERROR(INDEX('Ingreso Index Min, Indus y Serv'!$J3:$XFD3,MATCH(L$1,'Ingreso Index Min, Indus y Serv'!$J$1:$XFD$1,0)-4),0)</f>
        <v>0</v>
      </c>
      <c r="M3" s="230" cm="1">
        <f t="array" ref="M3">IFERROR(INDEX('Ingreso Index Min, Indus y Serv'!$J3:$XFD3,MATCH(M$1,'Ingreso Index Min, Indus y Serv'!$J$1:$XFD$1,0)-4),0)</f>
        <v>0</v>
      </c>
      <c r="N3" s="230" cm="1">
        <f t="array" ref="N3">IFERROR(INDEX('Ingreso Index Min, Indus y Serv'!$J3:$XFD3,MATCH(N$1,'Ingreso Index Min, Indus y Serv'!$J$1:$XFD$1,0)-4),0)</f>
        <v>0</v>
      </c>
      <c r="O3" s="230" cm="1">
        <f t="array" ref="O3">IFERROR(INDEX('Ingreso Index Min, Indus y Serv'!$J3:$XFD3,MATCH(O$1,'Ingreso Index Min, Indus y Serv'!$J$1:$XFD$1,0)-4),0)</f>
        <v>0</v>
      </c>
      <c r="P3" s="230" cm="1">
        <f t="array" ref="P3">IFERROR(INDEX('Ingreso Index Min, Indus y Serv'!$J3:$XFD3,MATCH(P$1,'Ingreso Index Min, Indus y Serv'!$J$1:$XFD$1,0)-4),0)</f>
        <v>0</v>
      </c>
      <c r="Q3" s="230" cm="1">
        <f t="array" ref="Q3">IFERROR(INDEX('Ingreso Index Min, Indus y Serv'!$J3:$XFD3,MATCH(Q$1,'Ingreso Index Min, Indus y Serv'!$J$1:$XFD$1,0)-4),0)</f>
        <v>0</v>
      </c>
      <c r="R3" s="230" cm="1">
        <f t="array" ref="R3">IFERROR(INDEX('Ingreso Index Min, Indus y Serv'!$J3:$XFD3,MATCH(R$1,'Ingreso Index Min, Indus y Serv'!$J$1:$XFD$1,0)-4),0)</f>
        <v>0</v>
      </c>
      <c r="S3" s="230" cm="1">
        <f t="array" ref="S3">IFERROR(INDEX('Ingreso Index Min, Indus y Serv'!$J3:$XFD3,MATCH(S$1,'Ingreso Index Min, Indus y Serv'!$J$1:$XFD$1,0)-4),0)</f>
        <v>0</v>
      </c>
      <c r="T3" s="230" cm="1">
        <f t="array" ref="T3">IFERROR(INDEX('Ingreso Index Min, Indus y Serv'!$J3:$XFD3,MATCH(T$1,'Ingreso Index Min, Indus y Serv'!$J$1:$XFD$1,0)-4),0)</f>
        <v>0</v>
      </c>
      <c r="U3" s="230" cm="1">
        <f t="array" ref="U3">IFERROR(INDEX('Ingreso Index Min, Indus y Serv'!$J3:$XFD3,MATCH(U$1,'Ingreso Index Min, Indus y Serv'!$J$1:$XFD$1,0)-4),0)</f>
        <v>0</v>
      </c>
      <c r="V3" s="230" cm="1">
        <f t="array" ref="V3">IFERROR(INDEX('Ingreso Index Min, Indus y Serv'!$J3:$XFD3,MATCH(V$1,'Ingreso Index Min, Indus y Serv'!$J$1:$XFD$1,0)-4),0)</f>
        <v>0</v>
      </c>
      <c r="W3" s="230" cm="1">
        <f t="array" ref="W3">IFERROR(INDEX('Ingreso Index Min, Indus y Serv'!$J3:$XFD3,MATCH(W$1,'Ingreso Index Min, Indus y Serv'!$J$1:$XFD$1,0)-4),0)</f>
        <v>0</v>
      </c>
      <c r="X3" s="230" cm="1">
        <f t="array" ref="X3">IFERROR(INDEX('Ingreso Index Min, Indus y Serv'!$J3:$XFD3,MATCH(X$1,'Ingreso Index Min, Indus y Serv'!$J$1:$XFD$1,0)-4),0)</f>
        <v>0</v>
      </c>
      <c r="Y3" s="230" cm="1">
        <f t="array" ref="Y3">IFERROR(INDEX('Ingreso Index Min, Indus y Serv'!$J3:$XFD3,MATCH(Y$1,'Ingreso Index Min, Indus y Serv'!$J$1:$XFD$1,0)-4),0)</f>
        <v>0</v>
      </c>
      <c r="Z3" s="230" cm="1">
        <f t="array" ref="Z3">IFERROR(INDEX('Ingreso Index Min, Indus y Serv'!$J3:$XFD3,MATCH(Z$1,'Ingreso Index Min, Indus y Serv'!$J$1:$XFD$1,0)-4),0)</f>
        <v>0</v>
      </c>
      <c r="AA3" s="230" cm="1">
        <f t="array" ref="AA3">IFERROR(INDEX('Ingreso Index Min, Indus y Serv'!$J3:$XFD3,MATCH(AA$1,'Ingreso Index Min, Indus y Serv'!$J$1:$XFD$1,0)-4),0)</f>
        <v>0</v>
      </c>
      <c r="AB3" s="230" cm="1">
        <f t="array" ref="AB3">IFERROR(INDEX('Ingreso Index Min, Indus y Serv'!$J3:$XFD3,MATCH(AB$1,'Ingreso Index Min, Indus y Serv'!$J$1:$XFD$1,0)-4),0)</f>
        <v>0</v>
      </c>
      <c r="AC3" s="230" cm="1">
        <f t="array" ref="AC3">IFERROR(INDEX('Ingreso Index Min, Indus y Serv'!$J3:$XFD3,MATCH(AC$1,'Ingreso Index Min, Indus y Serv'!$J$1:$XFD$1,0)-4),0)</f>
        <v>0</v>
      </c>
      <c r="AD3" s="230" cm="1">
        <f t="array" ref="AD3">IFERROR(INDEX('Ingreso Index Min, Indus y Serv'!$J3:$XFD3,MATCH(AD$1,'Ingreso Index Min, Indus y Serv'!$J$1:$XFD$1,0)-4),0)</f>
        <v>0</v>
      </c>
      <c r="AE3" s="230" cm="1">
        <f t="array" ref="AE3">IFERROR(INDEX('Ingreso Index Min, Indus y Serv'!$J3:$XFD3,MATCH(AE$1,'Ingreso Index Min, Indus y Serv'!$J$1:$XFD$1,0)-4),0)</f>
        <v>0</v>
      </c>
      <c r="AF3" s="230" cm="1">
        <f t="array" ref="AF3">IFERROR(INDEX('Ingreso Index Min, Indus y Serv'!$J3:$XFD3,MATCH(AF$1,'Ingreso Index Min, Indus y Serv'!$J$1:$XFD$1,0)-4),0)</f>
        <v>0</v>
      </c>
      <c r="AG3" s="230" cm="1">
        <f t="array" ref="AG3">IFERROR(INDEX('Ingreso Index Min, Indus y Serv'!$J3:$XFD3,MATCH(AG$1,'Ingreso Index Min, Indus y Serv'!$J$1:$XFD$1,0)-4),0)</f>
        <v>0</v>
      </c>
      <c r="AH3" s="230" cm="1">
        <f t="array" ref="AH3">IFERROR(INDEX('Ingreso Index Min, Indus y Serv'!$J3:$XFD3,MATCH(AH$1,'Ingreso Index Min, Indus y Serv'!$J$1:$XFD$1,0)-4),0)</f>
        <v>0</v>
      </c>
      <c r="AI3" s="230" cm="1">
        <f t="array" ref="AI3">IFERROR(INDEX('Ingreso Index Min, Indus y Serv'!$J3:$XFD3,MATCH(AI$1,'Ingreso Index Min, Indus y Serv'!$J$1:$XFD$1,0)-4),0)</f>
        <v>0</v>
      </c>
      <c r="AJ3" s="230" cm="1">
        <f t="array" ref="AJ3">IFERROR(INDEX('Ingreso Index Min, Indus y Serv'!$J3:$XFD3,MATCH(AJ$1,'Ingreso Index Min, Indus y Serv'!$J$1:$XFD$1,0)-4),0)</f>
        <v>0</v>
      </c>
      <c r="AK3" s="230" cm="1">
        <f t="array" ref="AK3">IFERROR(INDEX('Ingreso Index Min, Indus y Serv'!$J3:$XFD3,MATCH(AK$1,'Ingreso Index Min, Indus y Serv'!$J$1:$XFD$1,0)-4),0)</f>
        <v>0</v>
      </c>
      <c r="AL3" s="230" cm="1">
        <f t="array" ref="AL3">IFERROR(INDEX('Ingreso Index Min, Indus y Serv'!$J3:$XFD3,MATCH(AL$1,'Ingreso Index Min, Indus y Serv'!$J$1:$XFD$1,0)-4),0)</f>
        <v>0</v>
      </c>
      <c r="AM3" s="230" cm="1">
        <f t="array" ref="AM3">IFERROR(INDEX('Ingreso Index Min, Indus y Serv'!$J3:$XFD3,MATCH(AM$1,'Ingreso Index Min, Indus y Serv'!$J$1:$XFD$1,0)-4),0)</f>
        <v>0</v>
      </c>
      <c r="AN3" s="230" cm="1">
        <f t="array" ref="AN3">IFERROR(INDEX('Ingreso Index Min, Indus y Serv'!$J3:$XFD3,MATCH(AN$1,'Ingreso Index Min, Indus y Serv'!$J$1:$XFD$1,0)-4),0)</f>
        <v>0</v>
      </c>
      <c r="AO3" s="230" cm="1">
        <f t="array" ref="AO3">IFERROR(INDEX('Ingreso Index Min, Indus y Serv'!$J3:$XFD3,MATCH(AO$1,'Ingreso Index Min, Indus y Serv'!$J$1:$XFD$1,0)-4),0)</f>
        <v>0</v>
      </c>
      <c r="AP3" s="230" cm="1">
        <f t="array" ref="AP3">IFERROR(INDEX('Ingreso Index Min, Indus y Serv'!$J3:$XFD3,MATCH(AP$1,'Ingreso Index Min, Indus y Serv'!$J$1:$XFD$1,0)-4),0)</f>
        <v>0</v>
      </c>
      <c r="AQ3" s="230" cm="1">
        <f t="array" ref="AQ3">IFERROR(INDEX('Ingreso Index Min, Indus y Serv'!$J3:$XFD3,MATCH(AQ$1,'Ingreso Index Min, Indus y Serv'!$J$1:$XFD$1,0)-4),0)</f>
        <v>0</v>
      </c>
      <c r="AR3" s="230" cm="1">
        <f t="array" ref="AR3">IFERROR(INDEX('Ingreso Index Min, Indus y Serv'!$J3:$XFD3,MATCH(AR$1,'Ingreso Index Min, Indus y Serv'!$J$1:$XFD$1,0)-4),0)</f>
        <v>0</v>
      </c>
      <c r="AS3" s="230" cm="1">
        <f t="array" ref="AS3">IFERROR(INDEX('Ingreso Index Min, Indus y Serv'!$J3:$XFD3,MATCH(AS$1,'Ingreso Index Min, Indus y Serv'!$J$1:$XFD$1,0)-4),0)</f>
        <v>0</v>
      </c>
      <c r="AT3" s="230" cm="1">
        <f t="array" ref="AT3">IFERROR(INDEX('Ingreso Index Min, Indus y Serv'!$J3:$XFD3,MATCH(AT$1,'Ingreso Index Min, Indus y Serv'!$J$1:$XFD$1,0)-4),0)</f>
        <v>0</v>
      </c>
      <c r="AU3" s="230" cm="1">
        <f t="array" ref="AU3">IFERROR(INDEX('Ingreso Index Min, Indus y Serv'!$J3:$XFD3,MATCH(AU$1,'Ingreso Index Min, Indus y Serv'!$J$1:$XFD$1,0)-4),0)</f>
        <v>0</v>
      </c>
      <c r="AV3" s="230" cm="1">
        <f t="array" ref="AV3">IFERROR(INDEX('Ingreso Index Min, Indus y Serv'!$J3:$XFD3,MATCH(AV$1,'Ingreso Index Min, Indus y Serv'!$J$1:$XFD$1,0)-4),0)</f>
        <v>0</v>
      </c>
      <c r="AW3" s="230" cm="1">
        <f t="array" ref="AW3">IFERROR(INDEX('Ingreso Index Min, Indus y Serv'!$J3:$XFD3,MATCH(AW$1,'Ingreso Index Min, Indus y Serv'!$J$1:$XFD$1,0)-4),0)</f>
        <v>0</v>
      </c>
      <c r="AX3" s="230" cm="1">
        <f t="array" ref="AX3">IFERROR(INDEX('Ingreso Index Min, Indus y Serv'!$J3:$XFD3,MATCH(AX$1,'Ingreso Index Min, Indus y Serv'!$J$1:$XFD$1,0)-4),0)</f>
        <v>0</v>
      </c>
      <c r="AY3" s="230" cm="1">
        <f t="array" ref="AY3">IFERROR(INDEX('Ingreso Index Min, Indus y Serv'!$J3:$XFD3,MATCH(AY$1,'Ingreso Index Min, Indus y Serv'!$J$1:$XFD$1,0)-4),0)</f>
        <v>0</v>
      </c>
      <c r="AZ3" s="230" cm="1">
        <f t="array" ref="AZ3">IFERROR(INDEX('Ingreso Index Min, Indus y Serv'!$J3:$XFD3,MATCH(AZ$1,'Ingreso Index Min, Indus y Serv'!$J$1:$XFD$1,0)-4),0)</f>
        <v>0</v>
      </c>
      <c r="BA3" s="230" cm="1">
        <f t="array" ref="BA3">IFERROR(INDEX('Ingreso Index Min, Indus y Serv'!$J3:$XFD3,MATCH(BA$1,'Ingreso Index Min, Indus y Serv'!$J$1:$XFD$1,0)-4),0)</f>
        <v>0</v>
      </c>
      <c r="BB3" s="230" cm="1">
        <f t="array" ref="BB3">IFERROR(INDEX('Ingreso Index Min, Indus y Serv'!$J3:$XFD3,MATCH(BB$1,'Ingreso Index Min, Indus y Serv'!$J$1:$XFD$1,0)-4),0)</f>
        <v>0</v>
      </c>
      <c r="BC3" s="230" cm="1">
        <f t="array" ref="BC3">IFERROR(INDEX('Ingreso Index Min, Indus y Serv'!$J3:$XFD3,MATCH(BC$1,'Ingreso Index Min, Indus y Serv'!$J$1:$XFD$1,0)-4),0)</f>
        <v>0</v>
      </c>
      <c r="BD3" s="230" cm="1">
        <f t="array" ref="BD3">IFERROR(INDEX('Ingreso Index Min, Indus y Serv'!$J3:$XFD3,MATCH(BD$1,'Ingreso Index Min, Indus y Serv'!$J$1:$XFD$1,0)-4),0)</f>
        <v>0</v>
      </c>
      <c r="BE3" s="230" cm="1">
        <f t="array" ref="BE3">IFERROR(INDEX('Ingreso Index Min, Indus y Serv'!$J3:$XFD3,MATCH(BE$1,'Ingreso Index Min, Indus y Serv'!$J$1:$XFD$1,0)-4),0)</f>
        <v>0</v>
      </c>
    </row>
    <row r="4" spans="2:57">
      <c r="B4" s="222" t="s">
        <v>132</v>
      </c>
      <c r="C4" s="240" t="s">
        <v>154</v>
      </c>
      <c r="D4" s="224" t="s">
        <v>133</v>
      </c>
      <c r="E4" s="225">
        <v>2014</v>
      </c>
      <c r="F4" s="224" t="s">
        <v>135</v>
      </c>
      <c r="G4" s="224" t="s">
        <v>152</v>
      </c>
      <c r="H4" s="230" cm="1">
        <f t="array" ref="H4">IFERROR(INDEX('Ingreso Index Min, Indus y Serv'!$J4:$XFD4,MATCH(H$1,'Ingreso Index Min, Indus y Serv'!$J$1:$XFD$1,0)-4),0)</f>
        <v>111.77</v>
      </c>
      <c r="I4" s="230" cm="1">
        <f t="array" ref="I4">IFERROR(INDEX('Ingreso Index Min, Indus y Serv'!$J4:$XFD4,MATCH(I$1,'Ingreso Index Min, Indus y Serv'!$J$1:$XFD$1,0)-4),0)</f>
        <v>116.94</v>
      </c>
      <c r="J4" s="230" cm="1">
        <f t="array" ref="J4">IFERROR(INDEX('Ingreso Index Min, Indus y Serv'!$J4:$XFD4,MATCH(J$1,'Ingreso Index Min, Indus y Serv'!$J$1:$XFD$1,0)-4),0)</f>
        <v>115.96</v>
      </c>
      <c r="K4" s="230" cm="1">
        <f t="array" ref="K4">IFERROR(INDEX('Ingreso Index Min, Indus y Serv'!$J4:$XFD4,MATCH(K$1,'Ingreso Index Min, Indus y Serv'!$J$1:$XFD$1,0)-4),0)</f>
        <v>0</v>
      </c>
      <c r="L4" s="230" cm="1">
        <f t="array" ref="L4">IFERROR(INDEX('Ingreso Index Min, Indus y Serv'!$J4:$XFD4,MATCH(L$1,'Ingreso Index Min, Indus y Serv'!$J$1:$XFD$1,0)-4),0)</f>
        <v>0</v>
      </c>
      <c r="M4" s="230" cm="1">
        <f t="array" ref="M4">IFERROR(INDEX('Ingreso Index Min, Indus y Serv'!$J4:$XFD4,MATCH(M$1,'Ingreso Index Min, Indus y Serv'!$J$1:$XFD$1,0)-4),0)</f>
        <v>0</v>
      </c>
      <c r="N4" s="230" cm="1">
        <f t="array" ref="N4">IFERROR(INDEX('Ingreso Index Min, Indus y Serv'!$J4:$XFD4,MATCH(N$1,'Ingreso Index Min, Indus y Serv'!$J$1:$XFD$1,0)-4),0)</f>
        <v>0</v>
      </c>
      <c r="O4" s="230" cm="1">
        <f t="array" ref="O4">IFERROR(INDEX('Ingreso Index Min, Indus y Serv'!$J4:$XFD4,MATCH(O$1,'Ingreso Index Min, Indus y Serv'!$J$1:$XFD$1,0)-4),0)</f>
        <v>0</v>
      </c>
      <c r="P4" s="230" cm="1">
        <f t="array" ref="P4">IFERROR(INDEX('Ingreso Index Min, Indus y Serv'!$J4:$XFD4,MATCH(P$1,'Ingreso Index Min, Indus y Serv'!$J$1:$XFD$1,0)-4),0)</f>
        <v>0</v>
      </c>
      <c r="Q4" s="230" cm="1">
        <f t="array" ref="Q4">IFERROR(INDEX('Ingreso Index Min, Indus y Serv'!$J4:$XFD4,MATCH(Q$1,'Ingreso Index Min, Indus y Serv'!$J$1:$XFD$1,0)-4),0)</f>
        <v>0</v>
      </c>
      <c r="R4" s="230" cm="1">
        <f t="array" ref="R4">IFERROR(INDEX('Ingreso Index Min, Indus y Serv'!$J4:$XFD4,MATCH(R$1,'Ingreso Index Min, Indus y Serv'!$J$1:$XFD$1,0)-4),0)</f>
        <v>0</v>
      </c>
      <c r="S4" s="230" cm="1">
        <f t="array" ref="S4">IFERROR(INDEX('Ingreso Index Min, Indus y Serv'!$J4:$XFD4,MATCH(S$1,'Ingreso Index Min, Indus y Serv'!$J$1:$XFD$1,0)-4),0)</f>
        <v>0</v>
      </c>
      <c r="T4" s="230" cm="1">
        <f t="array" ref="T4">IFERROR(INDEX('Ingreso Index Min, Indus y Serv'!$J4:$XFD4,MATCH(T$1,'Ingreso Index Min, Indus y Serv'!$J$1:$XFD$1,0)-4),0)</f>
        <v>0</v>
      </c>
      <c r="U4" s="230" cm="1">
        <f t="array" ref="U4">IFERROR(INDEX('Ingreso Index Min, Indus y Serv'!$J4:$XFD4,MATCH(U$1,'Ingreso Index Min, Indus y Serv'!$J$1:$XFD$1,0)-4),0)</f>
        <v>0</v>
      </c>
      <c r="V4" s="230" cm="1">
        <f t="array" ref="V4">IFERROR(INDEX('Ingreso Index Min, Indus y Serv'!$J4:$XFD4,MATCH(V$1,'Ingreso Index Min, Indus y Serv'!$J$1:$XFD$1,0)-4),0)</f>
        <v>0</v>
      </c>
      <c r="W4" s="230" cm="1">
        <f t="array" ref="W4">IFERROR(INDEX('Ingreso Index Min, Indus y Serv'!$J4:$XFD4,MATCH(W$1,'Ingreso Index Min, Indus y Serv'!$J$1:$XFD$1,0)-4),0)</f>
        <v>0</v>
      </c>
      <c r="X4" s="230" cm="1">
        <f t="array" ref="X4">IFERROR(INDEX('Ingreso Index Min, Indus y Serv'!$J4:$XFD4,MATCH(X$1,'Ingreso Index Min, Indus y Serv'!$J$1:$XFD$1,0)-4),0)</f>
        <v>0</v>
      </c>
      <c r="Y4" s="230" cm="1">
        <f t="array" ref="Y4">IFERROR(INDEX('Ingreso Index Min, Indus y Serv'!$J4:$XFD4,MATCH(Y$1,'Ingreso Index Min, Indus y Serv'!$J$1:$XFD$1,0)-4),0)</f>
        <v>0</v>
      </c>
      <c r="Z4" s="230" cm="1">
        <f t="array" ref="Z4">IFERROR(INDEX('Ingreso Index Min, Indus y Serv'!$J4:$XFD4,MATCH(Z$1,'Ingreso Index Min, Indus y Serv'!$J$1:$XFD$1,0)-4),0)</f>
        <v>0</v>
      </c>
      <c r="AA4" s="230" cm="1">
        <f t="array" ref="AA4">IFERROR(INDEX('Ingreso Index Min, Indus y Serv'!$J4:$XFD4,MATCH(AA$1,'Ingreso Index Min, Indus y Serv'!$J$1:$XFD$1,0)-4),0)</f>
        <v>0</v>
      </c>
      <c r="AB4" s="230" cm="1">
        <f t="array" ref="AB4">IFERROR(INDEX('Ingreso Index Min, Indus y Serv'!$J4:$XFD4,MATCH(AB$1,'Ingreso Index Min, Indus y Serv'!$J$1:$XFD$1,0)-4),0)</f>
        <v>0</v>
      </c>
      <c r="AC4" s="230" cm="1">
        <f t="array" ref="AC4">IFERROR(INDEX('Ingreso Index Min, Indus y Serv'!$J4:$XFD4,MATCH(AC$1,'Ingreso Index Min, Indus y Serv'!$J$1:$XFD$1,0)-4),0)</f>
        <v>0</v>
      </c>
      <c r="AD4" s="230" cm="1">
        <f t="array" ref="AD4">IFERROR(INDEX('Ingreso Index Min, Indus y Serv'!$J4:$XFD4,MATCH(AD$1,'Ingreso Index Min, Indus y Serv'!$J$1:$XFD$1,0)-4),0)</f>
        <v>0</v>
      </c>
      <c r="AE4" s="230" cm="1">
        <f t="array" ref="AE4">IFERROR(INDEX('Ingreso Index Min, Indus y Serv'!$J4:$XFD4,MATCH(AE$1,'Ingreso Index Min, Indus y Serv'!$J$1:$XFD$1,0)-4),0)</f>
        <v>0</v>
      </c>
      <c r="AF4" s="230" cm="1">
        <f t="array" ref="AF4">IFERROR(INDEX('Ingreso Index Min, Indus y Serv'!$J4:$XFD4,MATCH(AF$1,'Ingreso Index Min, Indus y Serv'!$J$1:$XFD$1,0)-4),0)</f>
        <v>0</v>
      </c>
      <c r="AG4" s="230" cm="1">
        <f t="array" ref="AG4">IFERROR(INDEX('Ingreso Index Min, Indus y Serv'!$J4:$XFD4,MATCH(AG$1,'Ingreso Index Min, Indus y Serv'!$J$1:$XFD$1,0)-4),0)</f>
        <v>0</v>
      </c>
      <c r="AH4" s="230" cm="1">
        <f t="array" ref="AH4">IFERROR(INDEX('Ingreso Index Min, Indus y Serv'!$J4:$XFD4,MATCH(AH$1,'Ingreso Index Min, Indus y Serv'!$J$1:$XFD$1,0)-4),0)</f>
        <v>0</v>
      </c>
      <c r="AI4" s="230" cm="1">
        <f t="array" ref="AI4">IFERROR(INDEX('Ingreso Index Min, Indus y Serv'!$J4:$XFD4,MATCH(AI$1,'Ingreso Index Min, Indus y Serv'!$J$1:$XFD$1,0)-4),0)</f>
        <v>0</v>
      </c>
      <c r="AJ4" s="230" cm="1">
        <f t="array" ref="AJ4">IFERROR(INDEX('Ingreso Index Min, Indus y Serv'!$J4:$XFD4,MATCH(AJ$1,'Ingreso Index Min, Indus y Serv'!$J$1:$XFD$1,0)-4),0)</f>
        <v>0</v>
      </c>
      <c r="AK4" s="230" cm="1">
        <f t="array" ref="AK4">IFERROR(INDEX('Ingreso Index Min, Indus y Serv'!$J4:$XFD4,MATCH(AK$1,'Ingreso Index Min, Indus y Serv'!$J$1:$XFD$1,0)-4),0)</f>
        <v>0</v>
      </c>
      <c r="AL4" s="230" cm="1">
        <f t="array" ref="AL4">IFERROR(INDEX('Ingreso Index Min, Indus y Serv'!$J4:$XFD4,MATCH(AL$1,'Ingreso Index Min, Indus y Serv'!$J$1:$XFD$1,0)-4),0)</f>
        <v>0</v>
      </c>
      <c r="AM4" s="230" cm="1">
        <f t="array" ref="AM4">IFERROR(INDEX('Ingreso Index Min, Indus y Serv'!$J4:$XFD4,MATCH(AM$1,'Ingreso Index Min, Indus y Serv'!$J$1:$XFD$1,0)-4),0)</f>
        <v>0</v>
      </c>
      <c r="AN4" s="230" cm="1">
        <f t="array" ref="AN4">IFERROR(INDEX('Ingreso Index Min, Indus y Serv'!$J4:$XFD4,MATCH(AN$1,'Ingreso Index Min, Indus y Serv'!$J$1:$XFD$1,0)-4),0)</f>
        <v>0</v>
      </c>
      <c r="AO4" s="230" cm="1">
        <f t="array" ref="AO4">IFERROR(INDEX('Ingreso Index Min, Indus y Serv'!$J4:$XFD4,MATCH(AO$1,'Ingreso Index Min, Indus y Serv'!$J$1:$XFD$1,0)-4),0)</f>
        <v>0</v>
      </c>
      <c r="AP4" s="230" cm="1">
        <f t="array" ref="AP4">IFERROR(INDEX('Ingreso Index Min, Indus y Serv'!$J4:$XFD4,MATCH(AP$1,'Ingreso Index Min, Indus y Serv'!$J$1:$XFD$1,0)-4),0)</f>
        <v>0</v>
      </c>
      <c r="AQ4" s="230" cm="1">
        <f t="array" ref="AQ4">IFERROR(INDEX('Ingreso Index Min, Indus y Serv'!$J4:$XFD4,MATCH(AQ$1,'Ingreso Index Min, Indus y Serv'!$J$1:$XFD$1,0)-4),0)</f>
        <v>0</v>
      </c>
      <c r="AR4" s="230" cm="1">
        <f t="array" ref="AR4">IFERROR(INDEX('Ingreso Index Min, Indus y Serv'!$J4:$XFD4,MATCH(AR$1,'Ingreso Index Min, Indus y Serv'!$J$1:$XFD$1,0)-4),0)</f>
        <v>0</v>
      </c>
      <c r="AS4" s="230" cm="1">
        <f t="array" ref="AS4">IFERROR(INDEX('Ingreso Index Min, Indus y Serv'!$J4:$XFD4,MATCH(AS$1,'Ingreso Index Min, Indus y Serv'!$J$1:$XFD$1,0)-4),0)</f>
        <v>0</v>
      </c>
      <c r="AT4" s="230" cm="1">
        <f t="array" ref="AT4">IFERROR(INDEX('Ingreso Index Min, Indus y Serv'!$J4:$XFD4,MATCH(AT$1,'Ingreso Index Min, Indus y Serv'!$J$1:$XFD$1,0)-4),0)</f>
        <v>0</v>
      </c>
      <c r="AU4" s="230" cm="1">
        <f t="array" ref="AU4">IFERROR(INDEX('Ingreso Index Min, Indus y Serv'!$J4:$XFD4,MATCH(AU$1,'Ingreso Index Min, Indus y Serv'!$J$1:$XFD$1,0)-4),0)</f>
        <v>0</v>
      </c>
      <c r="AV4" s="230" cm="1">
        <f t="array" ref="AV4">IFERROR(INDEX('Ingreso Index Min, Indus y Serv'!$J4:$XFD4,MATCH(AV$1,'Ingreso Index Min, Indus y Serv'!$J$1:$XFD$1,0)-4),0)</f>
        <v>0</v>
      </c>
      <c r="AW4" s="230" cm="1">
        <f t="array" ref="AW4">IFERROR(INDEX('Ingreso Index Min, Indus y Serv'!$J4:$XFD4,MATCH(AW$1,'Ingreso Index Min, Indus y Serv'!$J$1:$XFD$1,0)-4),0)</f>
        <v>0</v>
      </c>
      <c r="AX4" s="230" cm="1">
        <f t="array" ref="AX4">IFERROR(INDEX('Ingreso Index Min, Indus y Serv'!$J4:$XFD4,MATCH(AX$1,'Ingreso Index Min, Indus y Serv'!$J$1:$XFD$1,0)-4),0)</f>
        <v>0</v>
      </c>
      <c r="AY4" s="230" cm="1">
        <f t="array" ref="AY4">IFERROR(INDEX('Ingreso Index Min, Indus y Serv'!$J4:$XFD4,MATCH(AY$1,'Ingreso Index Min, Indus y Serv'!$J$1:$XFD$1,0)-4),0)</f>
        <v>0</v>
      </c>
      <c r="AZ4" s="230" cm="1">
        <f t="array" ref="AZ4">IFERROR(INDEX('Ingreso Index Min, Indus y Serv'!$J4:$XFD4,MATCH(AZ$1,'Ingreso Index Min, Indus y Serv'!$J$1:$XFD$1,0)-4),0)</f>
        <v>0</v>
      </c>
      <c r="BA4" s="230" cm="1">
        <f t="array" ref="BA4">IFERROR(INDEX('Ingreso Index Min, Indus y Serv'!$J4:$XFD4,MATCH(BA$1,'Ingreso Index Min, Indus y Serv'!$J$1:$XFD$1,0)-4),0)</f>
        <v>0</v>
      </c>
      <c r="BB4" s="230" cm="1">
        <f t="array" ref="BB4">IFERROR(INDEX('Ingreso Index Min, Indus y Serv'!$J4:$XFD4,MATCH(BB$1,'Ingreso Index Min, Indus y Serv'!$J$1:$XFD$1,0)-4),0)</f>
        <v>0</v>
      </c>
      <c r="BC4" s="230" cm="1">
        <f t="array" ref="BC4">IFERROR(INDEX('Ingreso Index Min, Indus y Serv'!$J4:$XFD4,MATCH(BC$1,'Ingreso Index Min, Indus y Serv'!$J$1:$XFD$1,0)-4),0)</f>
        <v>0</v>
      </c>
      <c r="BD4" s="230" cm="1">
        <f t="array" ref="BD4">IFERROR(INDEX('Ingreso Index Min, Indus y Serv'!$J4:$XFD4,MATCH(BD$1,'Ingreso Index Min, Indus y Serv'!$J$1:$XFD$1,0)-4),0)</f>
        <v>0</v>
      </c>
      <c r="BE4" s="230" cm="1">
        <f t="array" ref="BE4">IFERROR(INDEX('Ingreso Index Min, Indus y Serv'!$J4:$XFD4,MATCH(BE$1,'Ingreso Index Min, Indus y Serv'!$J$1:$XFD$1,0)-4),0)</f>
        <v>0</v>
      </c>
    </row>
    <row r="5" spans="2:57" ht="41.45">
      <c r="B5" s="247" t="s">
        <v>140</v>
      </c>
      <c r="C5" s="248" t="s">
        <v>138</v>
      </c>
      <c r="D5" s="231" t="s">
        <v>137</v>
      </c>
      <c r="E5" s="249" t="s">
        <v>138</v>
      </c>
      <c r="F5" s="250" t="s">
        <v>139</v>
      </c>
      <c r="G5" s="251" t="s">
        <v>155</v>
      </c>
      <c r="H5" s="229">
        <f>IFERROR(INDEX('Ingreso Index Min, Indus y Serv'!$F$1:$BV$9,MATCH($B$5,'Ingreso Index Min, Indus y Serv'!$B$1:$B$9,0),MATCH(H$1,'Ingreso Index Min, Indus y Serv'!$F$1:$BV$1,0)),0)</f>
        <v>529.79000000000008</v>
      </c>
      <c r="I5" s="229">
        <f>IFERROR(INDEX('Ingreso Index Min, Indus y Serv'!$F$1:$BV$9,MATCH($B$5,'Ingreso Index Min, Indus y Serv'!$B$1:$B$9,0),MATCH(I$1,'Ingreso Index Min, Indus y Serv'!$F$1:$BV$1,0)),0)</f>
        <v>451.41833333333335</v>
      </c>
      <c r="J5" s="229">
        <f>IFERROR(INDEX('Ingreso Index Min, Indus y Serv'!$F$1:$BV$9,MATCH($B$5,'Ingreso Index Min, Indus y Serv'!$B$1:$B$9,0),MATCH(J$1,'Ingreso Index Min, Indus y Serv'!$F$1:$BV$1,0)),0)</f>
        <v>306.00166666666661</v>
      </c>
      <c r="K5" s="229">
        <f>IFERROR(INDEX('Ingreso Index Min, Indus y Serv'!$F$1:$BV$9,MATCH($B$5,'Ingreso Index Min, Indus y Serv'!$B$1:$B$9,0),MATCH(K$1,'Ingreso Index Min, Indus y Serv'!$F$1:$BV$1,0)),0)</f>
        <v>0</v>
      </c>
      <c r="L5" s="229">
        <f>IFERROR(INDEX('Ingreso Index Min, Indus y Serv'!$F$1:$BV$9,MATCH($B$5,'Ingreso Index Min, Indus y Serv'!$B$1:$B$9,0),MATCH(L$1,'Ingreso Index Min, Indus y Serv'!$F$1:$BV$1,0)),0)</f>
        <v>0</v>
      </c>
      <c r="M5" s="229">
        <f>IFERROR(INDEX('Ingreso Index Min, Indus y Serv'!$F$1:$BV$9,MATCH($B$5,'Ingreso Index Min, Indus y Serv'!$B$1:$B$9,0),MATCH(M$1,'Ingreso Index Min, Indus y Serv'!$F$1:$BV$1,0)),0)</f>
        <v>0</v>
      </c>
      <c r="N5" s="229">
        <f>IFERROR(INDEX('Ingreso Index Min, Indus y Serv'!$F$1:$BV$9,MATCH($B$5,'Ingreso Index Min, Indus y Serv'!$B$1:$B$9,0),MATCH(N$1,'Ingreso Index Min, Indus y Serv'!$F$1:$BV$1,0)),0)</f>
        <v>0</v>
      </c>
      <c r="O5" s="229">
        <f>IFERROR(INDEX('Ingreso Index Min, Indus y Serv'!$F$1:$BV$9,MATCH($B$5,'Ingreso Index Min, Indus y Serv'!$B$1:$B$9,0),MATCH(O$1,'Ingreso Index Min, Indus y Serv'!$F$1:$BV$1,0)),0)</f>
        <v>0</v>
      </c>
      <c r="P5" s="229">
        <f>IFERROR(INDEX('Ingreso Index Min, Indus y Serv'!$F$1:$BV$9,MATCH($B$5,'Ingreso Index Min, Indus y Serv'!$B$1:$B$9,0),MATCH(P$1,'Ingreso Index Min, Indus y Serv'!$F$1:$BV$1,0)),0)</f>
        <v>0</v>
      </c>
      <c r="Q5" s="229">
        <f>IFERROR(INDEX('Ingreso Index Min, Indus y Serv'!$F$1:$BV$9,MATCH($B$5,'Ingreso Index Min, Indus y Serv'!$B$1:$B$9,0),MATCH(Q$1,'Ingreso Index Min, Indus y Serv'!$F$1:$BV$1,0)),0)</f>
        <v>0</v>
      </c>
      <c r="R5" s="229">
        <f>IFERROR(INDEX('Ingreso Index Min, Indus y Serv'!$F$1:$BV$9,MATCH($B$5,'Ingreso Index Min, Indus y Serv'!$B$1:$B$9,0),MATCH(R$1,'Ingreso Index Min, Indus y Serv'!$F$1:$BV$1,0)),0)</f>
        <v>0</v>
      </c>
      <c r="S5" s="229">
        <f>IFERROR(INDEX('Ingreso Index Min, Indus y Serv'!$F$1:$BV$9,MATCH($B$5,'Ingreso Index Min, Indus y Serv'!$B$1:$B$9,0),MATCH(S$1,'Ingreso Index Min, Indus y Serv'!$F$1:$BV$1,0)),0)</f>
        <v>0</v>
      </c>
      <c r="T5" s="229">
        <f>IFERROR(INDEX('Ingreso Index Min, Indus y Serv'!$F$1:$BV$9,MATCH($B$5,'Ingreso Index Min, Indus y Serv'!$B$1:$B$9,0),MATCH(T$1,'Ingreso Index Min, Indus y Serv'!$F$1:$BV$1,0)),0)</f>
        <v>0</v>
      </c>
      <c r="U5" s="229">
        <f>IFERROR(INDEX('Ingreso Index Min, Indus y Serv'!$F$1:$BV$9,MATCH($B$5,'Ingreso Index Min, Indus y Serv'!$B$1:$B$9,0),MATCH(U$1,'Ingreso Index Min, Indus y Serv'!$F$1:$BV$1,0)),0)</f>
        <v>0</v>
      </c>
      <c r="V5" s="229">
        <f>IFERROR(INDEX('Ingreso Index Min, Indus y Serv'!$F$1:$BV$9,MATCH($B$5,'Ingreso Index Min, Indus y Serv'!$B$1:$B$9,0),MATCH(V$1,'Ingreso Index Min, Indus y Serv'!$F$1:$BV$1,0)),0)</f>
        <v>0</v>
      </c>
      <c r="W5" s="229">
        <f>IFERROR(INDEX('Ingreso Index Min, Indus y Serv'!$F$1:$BV$9,MATCH($B$5,'Ingreso Index Min, Indus y Serv'!$B$1:$B$9,0),MATCH(W$1,'Ingreso Index Min, Indus y Serv'!$F$1:$BV$1,0)),0)</f>
        <v>0</v>
      </c>
      <c r="X5" s="229">
        <f>IFERROR(INDEX('Ingreso Index Min, Indus y Serv'!$F$1:$BV$9,MATCH($B$5,'Ingreso Index Min, Indus y Serv'!$B$1:$B$9,0),MATCH(X$1,'Ingreso Index Min, Indus y Serv'!$F$1:$BV$1,0)),0)</f>
        <v>0</v>
      </c>
      <c r="Y5" s="229">
        <f>IFERROR(INDEX('Ingreso Index Min, Indus y Serv'!$F$1:$BV$9,MATCH($B$5,'Ingreso Index Min, Indus y Serv'!$B$1:$B$9,0),MATCH(Y$1,'Ingreso Index Min, Indus y Serv'!$F$1:$BV$1,0)),0)</f>
        <v>0</v>
      </c>
      <c r="Z5" s="229">
        <f>IFERROR(INDEX('Ingreso Index Min, Indus y Serv'!$F$1:$BV$9,MATCH($B$5,'Ingreso Index Min, Indus y Serv'!$B$1:$B$9,0),MATCH(Z$1,'Ingreso Index Min, Indus y Serv'!$F$1:$BV$1,0)),0)</f>
        <v>0</v>
      </c>
      <c r="AA5" s="229">
        <f>IFERROR(INDEX('Ingreso Index Min, Indus y Serv'!$F$1:$BV$9,MATCH($B$5,'Ingreso Index Min, Indus y Serv'!$B$1:$B$9,0),MATCH(AA$1,'Ingreso Index Min, Indus y Serv'!$F$1:$BV$1,0)),0)</f>
        <v>0</v>
      </c>
      <c r="AB5" s="229">
        <f>IFERROR(INDEX('Ingreso Index Min, Indus y Serv'!$F$1:$BV$9,MATCH($B$5,'Ingreso Index Min, Indus y Serv'!$B$1:$B$9,0),MATCH(AB$1,'Ingreso Index Min, Indus y Serv'!$F$1:$BV$1,0)),0)</f>
        <v>0</v>
      </c>
      <c r="AC5" s="229">
        <f>IFERROR(INDEX('Ingreso Index Min, Indus y Serv'!$F$1:$BV$9,MATCH($B$5,'Ingreso Index Min, Indus y Serv'!$B$1:$B$9,0),MATCH(AC$1,'Ingreso Index Min, Indus y Serv'!$F$1:$BV$1,0)),0)</f>
        <v>0</v>
      </c>
      <c r="AD5" s="229">
        <f>IFERROR(INDEX('Ingreso Index Min, Indus y Serv'!$F$1:$BV$9,MATCH($B$5,'Ingreso Index Min, Indus y Serv'!$B$1:$B$9,0),MATCH(AD$1,'Ingreso Index Min, Indus y Serv'!$F$1:$BV$1,0)),0)</f>
        <v>0</v>
      </c>
      <c r="AE5" s="229">
        <f>IFERROR(INDEX('Ingreso Index Min, Indus y Serv'!$F$1:$BV$9,MATCH($B$5,'Ingreso Index Min, Indus y Serv'!$B$1:$B$9,0),MATCH(AE$1,'Ingreso Index Min, Indus y Serv'!$F$1:$BV$1,0)),0)</f>
        <v>0</v>
      </c>
      <c r="AF5" s="229">
        <f>IFERROR(INDEX('Ingreso Index Min, Indus y Serv'!$F$1:$BV$9,MATCH($B$5,'Ingreso Index Min, Indus y Serv'!$B$1:$B$9,0),MATCH(AF$1,'Ingreso Index Min, Indus y Serv'!$F$1:$BV$1,0)),0)</f>
        <v>0</v>
      </c>
      <c r="AG5" s="229">
        <f>IFERROR(INDEX('Ingreso Index Min, Indus y Serv'!$F$1:$BV$9,MATCH($B$5,'Ingreso Index Min, Indus y Serv'!$B$1:$B$9,0),MATCH(AG$1,'Ingreso Index Min, Indus y Serv'!$F$1:$BV$1,0)),0)</f>
        <v>0</v>
      </c>
      <c r="AH5" s="229">
        <f>IFERROR(INDEX('Ingreso Index Min, Indus y Serv'!$F$1:$BV$9,MATCH($B$5,'Ingreso Index Min, Indus y Serv'!$B$1:$B$9,0),MATCH(AH$1,'Ingreso Index Min, Indus y Serv'!$F$1:$BV$1,0)),0)</f>
        <v>0</v>
      </c>
      <c r="AI5" s="229">
        <f>IFERROR(INDEX('Ingreso Index Min, Indus y Serv'!$F$1:$BV$9,MATCH($B$5,'Ingreso Index Min, Indus y Serv'!$B$1:$B$9,0),MATCH(AI$1,'Ingreso Index Min, Indus y Serv'!$F$1:$BV$1,0)),0)</f>
        <v>0</v>
      </c>
      <c r="AJ5" s="229">
        <f>IFERROR(INDEX('Ingreso Index Min, Indus y Serv'!$F$1:$BV$9,MATCH($B$5,'Ingreso Index Min, Indus y Serv'!$B$1:$B$9,0),MATCH(AJ$1,'Ingreso Index Min, Indus y Serv'!$F$1:$BV$1,0)),0)</f>
        <v>0</v>
      </c>
      <c r="AK5" s="229">
        <f>IFERROR(INDEX('Ingreso Index Min, Indus y Serv'!$F$1:$BV$9,MATCH($B$5,'Ingreso Index Min, Indus y Serv'!$B$1:$B$9,0),MATCH(AK$1,'Ingreso Index Min, Indus y Serv'!$F$1:$BV$1,0)),0)</f>
        <v>0</v>
      </c>
      <c r="AL5" s="229">
        <f>IFERROR(INDEX('Ingreso Index Min, Indus y Serv'!$F$1:$BV$9,MATCH($B$5,'Ingreso Index Min, Indus y Serv'!$B$1:$B$9,0),MATCH(AL$1,'Ingreso Index Min, Indus y Serv'!$F$1:$BV$1,0)),0)</f>
        <v>0</v>
      </c>
      <c r="AM5" s="229">
        <f>IFERROR(INDEX('Ingreso Index Min, Indus y Serv'!$F$1:$BV$9,MATCH($B$5,'Ingreso Index Min, Indus y Serv'!$B$1:$B$9,0),MATCH(AM$1,'Ingreso Index Min, Indus y Serv'!$F$1:$BV$1,0)),0)</f>
        <v>0</v>
      </c>
      <c r="AN5" s="229">
        <f>IFERROR(INDEX('Ingreso Index Min, Indus y Serv'!$F$1:$BV$9,MATCH($B$5,'Ingreso Index Min, Indus y Serv'!$B$1:$B$9,0),MATCH(AN$1,'Ingreso Index Min, Indus y Serv'!$F$1:$BV$1,0)),0)</f>
        <v>0</v>
      </c>
      <c r="AO5" s="229">
        <f>IFERROR(INDEX('Ingreso Index Min, Indus y Serv'!$F$1:$BV$9,MATCH($B$5,'Ingreso Index Min, Indus y Serv'!$B$1:$B$9,0),MATCH(AO$1,'Ingreso Index Min, Indus y Serv'!$F$1:$BV$1,0)),0)</f>
        <v>0</v>
      </c>
      <c r="AP5" s="229">
        <f>IFERROR(INDEX('Ingreso Index Min, Indus y Serv'!$F$1:$BV$9,MATCH($B$5,'Ingreso Index Min, Indus y Serv'!$B$1:$B$9,0),MATCH(AP$1,'Ingreso Index Min, Indus y Serv'!$F$1:$BV$1,0)),0)</f>
        <v>0</v>
      </c>
      <c r="AQ5" s="229">
        <f>IFERROR(INDEX('Ingreso Index Min, Indus y Serv'!$F$1:$BV$9,MATCH($B$5,'Ingreso Index Min, Indus y Serv'!$B$1:$B$9,0),MATCH(AQ$1,'Ingreso Index Min, Indus y Serv'!$F$1:$BV$1,0)),0)</f>
        <v>0</v>
      </c>
      <c r="AR5" s="229">
        <f>IFERROR(INDEX('Ingreso Index Min, Indus y Serv'!$F$1:$BV$9,MATCH($B$5,'Ingreso Index Min, Indus y Serv'!$B$1:$B$9,0),MATCH(AR$1,'Ingreso Index Min, Indus y Serv'!$F$1:$BV$1,0)),0)</f>
        <v>0</v>
      </c>
      <c r="AS5" s="229">
        <f>IFERROR(INDEX('Ingreso Index Min, Indus y Serv'!$F$1:$BV$9,MATCH($B$5,'Ingreso Index Min, Indus y Serv'!$B$1:$B$9,0),MATCH(AS$1,'Ingreso Index Min, Indus y Serv'!$F$1:$BV$1,0)),0)</f>
        <v>0</v>
      </c>
      <c r="AT5" s="229">
        <f>IFERROR(INDEX('Ingreso Index Min, Indus y Serv'!$F$1:$BV$9,MATCH($B$5,'Ingreso Index Min, Indus y Serv'!$B$1:$B$9,0),MATCH(AT$1,'Ingreso Index Min, Indus y Serv'!$F$1:$BV$1,0)),0)</f>
        <v>0</v>
      </c>
      <c r="AU5" s="229">
        <f>IFERROR(INDEX('Ingreso Index Min, Indus y Serv'!$F$1:$BV$9,MATCH($B$5,'Ingreso Index Min, Indus y Serv'!$B$1:$B$9,0),MATCH(AU$1,'Ingreso Index Min, Indus y Serv'!$F$1:$BV$1,0)),0)</f>
        <v>0</v>
      </c>
      <c r="AV5" s="229">
        <f>IFERROR(INDEX('Ingreso Index Min, Indus y Serv'!$F$1:$BV$9,MATCH($B$5,'Ingreso Index Min, Indus y Serv'!$B$1:$B$9,0),MATCH(AV$1,'Ingreso Index Min, Indus y Serv'!$F$1:$BV$1,0)),0)</f>
        <v>0</v>
      </c>
      <c r="AW5" s="229">
        <f>IFERROR(INDEX('Ingreso Index Min, Indus y Serv'!$F$1:$BV$9,MATCH($B$5,'Ingreso Index Min, Indus y Serv'!$B$1:$B$9,0),MATCH(AW$1,'Ingreso Index Min, Indus y Serv'!$F$1:$BV$1,0)),0)</f>
        <v>0</v>
      </c>
      <c r="AX5" s="229">
        <f>IFERROR(INDEX('Ingreso Index Min, Indus y Serv'!$F$1:$BV$9,MATCH($B$5,'Ingreso Index Min, Indus y Serv'!$B$1:$B$9,0),MATCH(AX$1,'Ingreso Index Min, Indus y Serv'!$F$1:$BV$1,0)),0)</f>
        <v>0</v>
      </c>
      <c r="AY5" s="229">
        <f>IFERROR(INDEX('Ingreso Index Min, Indus y Serv'!$F$1:$BV$9,MATCH($B$5,'Ingreso Index Min, Indus y Serv'!$B$1:$B$9,0),MATCH(AY$1,'Ingreso Index Min, Indus y Serv'!$F$1:$BV$1,0)),0)</f>
        <v>0</v>
      </c>
      <c r="AZ5" s="229">
        <f>IFERROR(INDEX('Ingreso Index Min, Indus y Serv'!$F$1:$BV$9,MATCH($B$5,'Ingreso Index Min, Indus y Serv'!$B$1:$B$9,0),MATCH(AZ$1,'Ingreso Index Min, Indus y Serv'!$F$1:$BV$1,0)),0)</f>
        <v>0</v>
      </c>
      <c r="BA5" s="229">
        <f>IFERROR(INDEX('Ingreso Index Min, Indus y Serv'!$F$1:$BV$9,MATCH($B$5,'Ingreso Index Min, Indus y Serv'!$B$1:$B$9,0),MATCH(BA$1,'Ingreso Index Min, Indus y Serv'!$F$1:$BV$1,0)),0)</f>
        <v>0</v>
      </c>
      <c r="BB5" s="229">
        <f>IFERROR(INDEX('Ingreso Index Min, Indus y Serv'!$F$1:$BV$9,MATCH($B$5,'Ingreso Index Min, Indus y Serv'!$B$1:$B$9,0),MATCH(BB$1,'Ingreso Index Min, Indus y Serv'!$F$1:$BV$1,0)),0)</f>
        <v>0</v>
      </c>
      <c r="BC5" s="229">
        <f>IFERROR(INDEX('Ingreso Index Min, Indus y Serv'!$F$1:$BV$9,MATCH($B$5,'Ingreso Index Min, Indus y Serv'!$B$1:$B$9,0),MATCH(BC$1,'Ingreso Index Min, Indus y Serv'!$F$1:$BV$1,0)),0)</f>
        <v>0</v>
      </c>
      <c r="BD5" s="229">
        <f>IFERROR(INDEX('Ingreso Index Min, Indus y Serv'!$F$1:$BV$9,MATCH($B$5,'Ingreso Index Min, Indus y Serv'!$B$1:$B$9,0),MATCH(BD$1,'Ingreso Index Min, Indus y Serv'!$F$1:$BV$1,0)),0)</f>
        <v>0</v>
      </c>
      <c r="BE5" s="229">
        <f>IFERROR(INDEX('Ingreso Index Min, Indus y Serv'!$F$1:$BV$9,MATCH($B$5,'Ingreso Index Min, Indus y Serv'!$B$1:$B$9,0),MATCH(BE$1,'Ingreso Index Min, Indus y Serv'!$F$1:$BV$1,0)),0)</f>
        <v>0</v>
      </c>
    </row>
    <row r="6" spans="2:57">
      <c r="B6" s="222" t="s">
        <v>141</v>
      </c>
      <c r="C6" s="240" t="s">
        <v>138</v>
      </c>
      <c r="D6" s="224" t="s">
        <v>142</v>
      </c>
      <c r="E6" s="225" t="s">
        <v>138</v>
      </c>
      <c r="F6" s="224" t="s">
        <v>138</v>
      </c>
      <c r="G6" s="224" t="s">
        <v>156</v>
      </c>
      <c r="H6" s="230" cm="1">
        <f t="array" ref="H6">IFERROR(INDEX('Ingreso Index Min, Indus y Serv'!$J7:$XFD7,MATCH(H$1,'Ingreso Index Min, Indus y Serv'!$J$1:$XFD$1,0)-1),0)</f>
        <v>776.53</v>
      </c>
      <c r="I6" s="230" cm="1">
        <f t="array" ref="I6">IFERROR(INDEX('Ingreso Index Min, Indus y Serv'!$J7:$XFD7,MATCH(I$1,'Ingreso Index Min, Indus y Serv'!$J$1:$XFD$1,0)-1),0)</f>
        <v>793.7180952380952</v>
      </c>
      <c r="J6" s="230" cm="1">
        <f t="array" ref="J6">IFERROR(INDEX('Ingreso Index Min, Indus y Serv'!$J7:$XFD7,MATCH(J$1,'Ingreso Index Min, Indus y Serv'!$J$1:$XFD$1,0)-1),0)</f>
        <v>759.75400000000002</v>
      </c>
      <c r="K6" s="230" cm="1">
        <f t="array" ref="K6">IFERROR(INDEX('Ingreso Index Min, Indus y Serv'!$J7:$XFD7,MATCH(K$1,'Ingreso Index Min, Indus y Serv'!$J$1:$XFD$1,0)-1),0)</f>
        <v>0</v>
      </c>
      <c r="L6" s="230" cm="1">
        <f t="array" ref="L6">IFERROR(INDEX('Ingreso Index Min, Indus y Serv'!$J7:$XFD7,MATCH(L$1,'Ingreso Index Min, Indus y Serv'!$J$1:$XFD$1,0)-1),0)</f>
        <v>0</v>
      </c>
      <c r="M6" s="230" cm="1">
        <f t="array" ref="M6">IFERROR(INDEX('Ingreso Index Min, Indus y Serv'!$J7:$XFD7,MATCH(M$1,'Ingreso Index Min, Indus y Serv'!$J$1:$XFD$1,0)-1),0)</f>
        <v>0</v>
      </c>
      <c r="N6" s="230" cm="1">
        <f t="array" ref="N6">IFERROR(INDEX('Ingreso Index Min, Indus y Serv'!$J7:$XFD7,MATCH(N$1,'Ingreso Index Min, Indus y Serv'!$J$1:$XFD$1,0)-1),0)</f>
        <v>0</v>
      </c>
      <c r="O6" s="230" cm="1">
        <f t="array" ref="O6">IFERROR(INDEX('Ingreso Index Min, Indus y Serv'!$J7:$XFD7,MATCH(O$1,'Ingreso Index Min, Indus y Serv'!$J$1:$XFD$1,0)-1),0)</f>
        <v>0</v>
      </c>
      <c r="P6" s="230" cm="1">
        <f t="array" ref="P6">IFERROR(INDEX('Ingreso Index Min, Indus y Serv'!$J7:$XFD7,MATCH(P$1,'Ingreso Index Min, Indus y Serv'!$J$1:$XFD$1,0)-1),0)</f>
        <v>0</v>
      </c>
      <c r="Q6" s="230" cm="1">
        <f t="array" ref="Q6">IFERROR(INDEX('Ingreso Index Min, Indus y Serv'!$J7:$XFD7,MATCH(Q$1,'Ingreso Index Min, Indus y Serv'!$J$1:$XFD$1,0)-1),0)</f>
        <v>0</v>
      </c>
      <c r="R6" s="230" cm="1">
        <f t="array" ref="R6">IFERROR(INDEX('Ingreso Index Min, Indus y Serv'!$J7:$XFD7,MATCH(R$1,'Ingreso Index Min, Indus y Serv'!$J$1:$XFD$1,0)-1),0)</f>
        <v>0</v>
      </c>
      <c r="S6" s="230" cm="1">
        <f t="array" ref="S6">IFERROR(INDEX('Ingreso Index Min, Indus y Serv'!$J7:$XFD7,MATCH(S$1,'Ingreso Index Min, Indus y Serv'!$J$1:$XFD$1,0)-1),0)</f>
        <v>0</v>
      </c>
      <c r="T6" s="230" cm="1">
        <f t="array" ref="T6">IFERROR(INDEX('Ingreso Index Min, Indus y Serv'!$J7:$XFD7,MATCH(T$1,'Ingreso Index Min, Indus y Serv'!$J$1:$XFD$1,0)-1),0)</f>
        <v>0</v>
      </c>
      <c r="U6" s="230" cm="1">
        <f t="array" ref="U6">IFERROR(INDEX('Ingreso Index Min, Indus y Serv'!$J7:$XFD7,MATCH(U$1,'Ingreso Index Min, Indus y Serv'!$J$1:$XFD$1,0)-1),0)</f>
        <v>0</v>
      </c>
      <c r="V6" s="230" cm="1">
        <f t="array" ref="V6">IFERROR(INDEX('Ingreso Index Min, Indus y Serv'!$J7:$XFD7,MATCH(V$1,'Ingreso Index Min, Indus y Serv'!$J$1:$XFD$1,0)-1),0)</f>
        <v>0</v>
      </c>
      <c r="W6" s="230" cm="1">
        <f t="array" ref="W6">IFERROR(INDEX('Ingreso Index Min, Indus y Serv'!$J7:$XFD7,MATCH(W$1,'Ingreso Index Min, Indus y Serv'!$J$1:$XFD$1,0)-1),0)</f>
        <v>0</v>
      </c>
      <c r="X6" s="230" cm="1">
        <f t="array" ref="X6">IFERROR(INDEX('Ingreso Index Min, Indus y Serv'!$J7:$XFD7,MATCH(X$1,'Ingreso Index Min, Indus y Serv'!$J$1:$XFD$1,0)-1),0)</f>
        <v>0</v>
      </c>
      <c r="Y6" s="230" cm="1">
        <f t="array" ref="Y6">IFERROR(INDEX('Ingreso Index Min, Indus y Serv'!$J7:$XFD7,MATCH(Y$1,'Ingreso Index Min, Indus y Serv'!$J$1:$XFD$1,0)-1),0)</f>
        <v>0</v>
      </c>
      <c r="Z6" s="230" cm="1">
        <f t="array" ref="Z6">IFERROR(INDEX('Ingreso Index Min, Indus y Serv'!$J7:$XFD7,MATCH(Z$1,'Ingreso Index Min, Indus y Serv'!$J$1:$XFD$1,0)-1),0)</f>
        <v>0</v>
      </c>
      <c r="AA6" s="230" cm="1">
        <f t="array" ref="AA6">IFERROR(INDEX('Ingreso Index Min, Indus y Serv'!$J7:$XFD7,MATCH(AA$1,'Ingreso Index Min, Indus y Serv'!$J$1:$XFD$1,0)-1),0)</f>
        <v>0</v>
      </c>
      <c r="AB6" s="230" cm="1">
        <f t="array" ref="AB6">IFERROR(INDEX('Ingreso Index Min, Indus y Serv'!$J7:$XFD7,MATCH(AB$1,'Ingreso Index Min, Indus y Serv'!$J$1:$XFD$1,0)-1),0)</f>
        <v>0</v>
      </c>
      <c r="AC6" s="230" cm="1">
        <f t="array" ref="AC6">IFERROR(INDEX('Ingreso Index Min, Indus y Serv'!$J7:$XFD7,MATCH(AC$1,'Ingreso Index Min, Indus y Serv'!$J$1:$XFD$1,0)-1),0)</f>
        <v>0</v>
      </c>
      <c r="AD6" s="230" cm="1">
        <f t="array" ref="AD6">IFERROR(INDEX('Ingreso Index Min, Indus y Serv'!$J7:$XFD7,MATCH(AD$1,'Ingreso Index Min, Indus y Serv'!$J$1:$XFD$1,0)-1),0)</f>
        <v>0</v>
      </c>
      <c r="AE6" s="230" cm="1">
        <f t="array" ref="AE6">IFERROR(INDEX('Ingreso Index Min, Indus y Serv'!$J7:$XFD7,MATCH(AE$1,'Ingreso Index Min, Indus y Serv'!$J$1:$XFD$1,0)-1),0)</f>
        <v>0</v>
      </c>
      <c r="AF6" s="230" cm="1">
        <f t="array" ref="AF6">IFERROR(INDEX('Ingreso Index Min, Indus y Serv'!$J7:$XFD7,MATCH(AF$1,'Ingreso Index Min, Indus y Serv'!$J$1:$XFD$1,0)-1),0)</f>
        <v>0</v>
      </c>
      <c r="AG6" s="230" cm="1">
        <f t="array" ref="AG6">IFERROR(INDEX('Ingreso Index Min, Indus y Serv'!$J7:$XFD7,MATCH(AG$1,'Ingreso Index Min, Indus y Serv'!$J$1:$XFD$1,0)-1),0)</f>
        <v>0</v>
      </c>
      <c r="AH6" s="230" cm="1">
        <f t="array" ref="AH6">IFERROR(INDEX('Ingreso Index Min, Indus y Serv'!$J7:$XFD7,MATCH(AH$1,'Ingreso Index Min, Indus y Serv'!$J$1:$XFD$1,0)-1),0)</f>
        <v>0</v>
      </c>
      <c r="AI6" s="230" cm="1">
        <f t="array" ref="AI6">IFERROR(INDEX('Ingreso Index Min, Indus y Serv'!$J7:$XFD7,MATCH(AI$1,'Ingreso Index Min, Indus y Serv'!$J$1:$XFD$1,0)-1),0)</f>
        <v>0</v>
      </c>
      <c r="AJ6" s="230" cm="1">
        <f t="array" ref="AJ6">IFERROR(INDEX('Ingreso Index Min, Indus y Serv'!$J7:$XFD7,MATCH(AJ$1,'Ingreso Index Min, Indus y Serv'!$J$1:$XFD$1,0)-1),0)</f>
        <v>0</v>
      </c>
      <c r="AK6" s="230" cm="1">
        <f t="array" ref="AK6">IFERROR(INDEX('Ingreso Index Min, Indus y Serv'!$J7:$XFD7,MATCH(AK$1,'Ingreso Index Min, Indus y Serv'!$J$1:$XFD$1,0)-1),0)</f>
        <v>0</v>
      </c>
      <c r="AL6" s="230" cm="1">
        <f t="array" ref="AL6">IFERROR(INDEX('Ingreso Index Min, Indus y Serv'!$J7:$XFD7,MATCH(AL$1,'Ingreso Index Min, Indus y Serv'!$J$1:$XFD$1,0)-1),0)</f>
        <v>0</v>
      </c>
      <c r="AM6" s="230" cm="1">
        <f t="array" ref="AM6">IFERROR(INDEX('Ingreso Index Min, Indus y Serv'!$J7:$XFD7,MATCH(AM$1,'Ingreso Index Min, Indus y Serv'!$J$1:$XFD$1,0)-1),0)</f>
        <v>0</v>
      </c>
      <c r="AN6" s="230" cm="1">
        <f t="array" ref="AN6">IFERROR(INDEX('Ingreso Index Min, Indus y Serv'!$J7:$XFD7,MATCH(AN$1,'Ingreso Index Min, Indus y Serv'!$J$1:$XFD$1,0)-1),0)</f>
        <v>0</v>
      </c>
      <c r="AO6" s="230" cm="1">
        <f t="array" ref="AO6">IFERROR(INDEX('Ingreso Index Min, Indus y Serv'!$J7:$XFD7,MATCH(AO$1,'Ingreso Index Min, Indus y Serv'!$J$1:$XFD$1,0)-1),0)</f>
        <v>0</v>
      </c>
      <c r="AP6" s="230" cm="1">
        <f t="array" ref="AP6">IFERROR(INDEX('Ingreso Index Min, Indus y Serv'!$J7:$XFD7,MATCH(AP$1,'Ingreso Index Min, Indus y Serv'!$J$1:$XFD$1,0)-1),0)</f>
        <v>0</v>
      </c>
      <c r="AQ6" s="230" cm="1">
        <f t="array" ref="AQ6">IFERROR(INDEX('Ingreso Index Min, Indus y Serv'!$J7:$XFD7,MATCH(AQ$1,'Ingreso Index Min, Indus y Serv'!$J$1:$XFD$1,0)-1),0)</f>
        <v>0</v>
      </c>
      <c r="AR6" s="230" cm="1">
        <f t="array" ref="AR6">IFERROR(INDEX('Ingreso Index Min, Indus y Serv'!$J7:$XFD7,MATCH(AR$1,'Ingreso Index Min, Indus y Serv'!$J$1:$XFD$1,0)-1),0)</f>
        <v>0</v>
      </c>
      <c r="AS6" s="230" cm="1">
        <f t="array" ref="AS6">IFERROR(INDEX('Ingreso Index Min, Indus y Serv'!$J7:$XFD7,MATCH(AS$1,'Ingreso Index Min, Indus y Serv'!$J$1:$XFD$1,0)-1),0)</f>
        <v>0</v>
      </c>
      <c r="AT6" s="230" cm="1">
        <f t="array" ref="AT6">IFERROR(INDEX('Ingreso Index Min, Indus y Serv'!$J7:$XFD7,MATCH(AT$1,'Ingreso Index Min, Indus y Serv'!$J$1:$XFD$1,0)-1),0)</f>
        <v>0</v>
      </c>
      <c r="AU6" s="230" cm="1">
        <f t="array" ref="AU6">IFERROR(INDEX('Ingreso Index Min, Indus y Serv'!$J7:$XFD7,MATCH(AU$1,'Ingreso Index Min, Indus y Serv'!$J$1:$XFD$1,0)-1),0)</f>
        <v>0</v>
      </c>
      <c r="AV6" s="230" cm="1">
        <f t="array" ref="AV6">IFERROR(INDEX('Ingreso Index Min, Indus y Serv'!$J7:$XFD7,MATCH(AV$1,'Ingreso Index Min, Indus y Serv'!$J$1:$XFD$1,0)-1),0)</f>
        <v>0</v>
      </c>
      <c r="AW6" s="230" cm="1">
        <f t="array" ref="AW6">IFERROR(INDEX('Ingreso Index Min, Indus y Serv'!$J7:$XFD7,MATCH(AW$1,'Ingreso Index Min, Indus y Serv'!$J$1:$XFD$1,0)-1),0)</f>
        <v>0</v>
      </c>
      <c r="AX6" s="230" cm="1">
        <f t="array" ref="AX6">IFERROR(INDEX('Ingreso Index Min, Indus y Serv'!$J7:$XFD7,MATCH(AX$1,'Ingreso Index Min, Indus y Serv'!$J$1:$XFD$1,0)-1),0)</f>
        <v>0</v>
      </c>
      <c r="AY6" s="230" cm="1">
        <f t="array" ref="AY6">IFERROR(INDEX('Ingreso Index Min, Indus y Serv'!$J7:$XFD7,MATCH(AY$1,'Ingreso Index Min, Indus y Serv'!$J$1:$XFD$1,0)-1),0)</f>
        <v>0</v>
      </c>
      <c r="AZ6" s="230" cm="1">
        <f t="array" ref="AZ6">IFERROR(INDEX('Ingreso Index Min, Indus y Serv'!$J7:$XFD7,MATCH(AZ$1,'Ingreso Index Min, Indus y Serv'!$J$1:$XFD$1,0)-1),0)</f>
        <v>0</v>
      </c>
      <c r="BA6" s="230" cm="1">
        <f t="array" ref="BA6">IFERROR(INDEX('Ingreso Index Min, Indus y Serv'!$J7:$XFD7,MATCH(BA$1,'Ingreso Index Min, Indus y Serv'!$J$1:$XFD$1,0)-1),0)</f>
        <v>0</v>
      </c>
      <c r="BB6" s="230" cm="1">
        <f t="array" ref="BB6">IFERROR(INDEX('Ingreso Index Min, Indus y Serv'!$J7:$XFD7,MATCH(BB$1,'Ingreso Index Min, Indus y Serv'!$J$1:$XFD$1,0)-1),0)</f>
        <v>0</v>
      </c>
      <c r="BC6" s="230" cm="1">
        <f t="array" ref="BC6">IFERROR(INDEX('Ingreso Index Min, Indus y Serv'!$J7:$XFD7,MATCH(BC$1,'Ingreso Index Min, Indus y Serv'!$J$1:$XFD$1,0)-1),0)</f>
        <v>0</v>
      </c>
      <c r="BD6" s="230" cm="1">
        <f t="array" ref="BD6">IFERROR(INDEX('Ingreso Index Min, Indus y Serv'!$J7:$XFD7,MATCH(BD$1,'Ingreso Index Min, Indus y Serv'!$J$1:$XFD$1,0)-1),0)</f>
        <v>0</v>
      </c>
      <c r="BE6" s="230" cm="1">
        <f t="array" ref="BE6">IFERROR(INDEX('Ingreso Index Min, Indus y Serv'!$J7:$XFD7,MATCH(BE$1,'Ingreso Index Min, Indus y Serv'!$J$1:$XFD$1,0)-1),0)</f>
        <v>0</v>
      </c>
    </row>
    <row r="7" spans="2:57" s="204" customFormat="1">
      <c r="B7" s="222" t="s">
        <v>157</v>
      </c>
      <c r="C7" s="240" t="s">
        <v>158</v>
      </c>
      <c r="D7" s="226" t="s">
        <v>138</v>
      </c>
      <c r="E7" s="227" t="s">
        <v>138</v>
      </c>
      <c r="F7" s="226" t="s">
        <v>138</v>
      </c>
      <c r="G7" s="226" t="s">
        <v>156</v>
      </c>
      <c r="H7" s="228">
        <f>H5*H6</f>
        <v>411397.82870000007</v>
      </c>
      <c r="I7" s="228">
        <f t="shared" ref="I7:BE7" si="0">I5*I6</f>
        <v>358298.89968888887</v>
      </c>
      <c r="J7" s="228">
        <f t="shared" si="0"/>
        <v>232485.99025666664</v>
      </c>
      <c r="K7" s="228">
        <f t="shared" si="0"/>
        <v>0</v>
      </c>
      <c r="L7" s="228">
        <f t="shared" si="0"/>
        <v>0</v>
      </c>
      <c r="M7" s="228">
        <f t="shared" si="0"/>
        <v>0</v>
      </c>
      <c r="N7" s="228">
        <f t="shared" si="0"/>
        <v>0</v>
      </c>
      <c r="O7" s="228">
        <f t="shared" si="0"/>
        <v>0</v>
      </c>
      <c r="P7" s="228">
        <f t="shared" si="0"/>
        <v>0</v>
      </c>
      <c r="Q7" s="228">
        <f t="shared" si="0"/>
        <v>0</v>
      </c>
      <c r="R7" s="228">
        <f t="shared" si="0"/>
        <v>0</v>
      </c>
      <c r="S7" s="228">
        <f t="shared" si="0"/>
        <v>0</v>
      </c>
      <c r="T7" s="228">
        <f t="shared" si="0"/>
        <v>0</v>
      </c>
      <c r="U7" s="228">
        <f t="shared" si="0"/>
        <v>0</v>
      </c>
      <c r="V7" s="228">
        <f t="shared" si="0"/>
        <v>0</v>
      </c>
      <c r="W7" s="228">
        <f t="shared" si="0"/>
        <v>0</v>
      </c>
      <c r="X7" s="228">
        <f t="shared" si="0"/>
        <v>0</v>
      </c>
      <c r="Y7" s="228">
        <f t="shared" si="0"/>
        <v>0</v>
      </c>
      <c r="Z7" s="228">
        <f t="shared" si="0"/>
        <v>0</v>
      </c>
      <c r="AA7" s="228">
        <f t="shared" si="0"/>
        <v>0</v>
      </c>
      <c r="AB7" s="228">
        <f t="shared" si="0"/>
        <v>0</v>
      </c>
      <c r="AC7" s="228">
        <f t="shared" si="0"/>
        <v>0</v>
      </c>
      <c r="AD7" s="228">
        <f t="shared" si="0"/>
        <v>0</v>
      </c>
      <c r="AE7" s="228">
        <f t="shared" si="0"/>
        <v>0</v>
      </c>
      <c r="AF7" s="228">
        <f t="shared" si="0"/>
        <v>0</v>
      </c>
      <c r="AG7" s="228">
        <f t="shared" si="0"/>
        <v>0</v>
      </c>
      <c r="AH7" s="228">
        <f t="shared" si="0"/>
        <v>0</v>
      </c>
      <c r="AI7" s="228">
        <f t="shared" si="0"/>
        <v>0</v>
      </c>
      <c r="AJ7" s="228">
        <f t="shared" si="0"/>
        <v>0</v>
      </c>
      <c r="AK7" s="228">
        <f t="shared" si="0"/>
        <v>0</v>
      </c>
      <c r="AL7" s="228">
        <f t="shared" si="0"/>
        <v>0</v>
      </c>
      <c r="AM7" s="228">
        <f t="shared" si="0"/>
        <v>0</v>
      </c>
      <c r="AN7" s="228">
        <f t="shared" si="0"/>
        <v>0</v>
      </c>
      <c r="AO7" s="228">
        <f t="shared" si="0"/>
        <v>0</v>
      </c>
      <c r="AP7" s="228">
        <f t="shared" si="0"/>
        <v>0</v>
      </c>
      <c r="AQ7" s="228">
        <f t="shared" si="0"/>
        <v>0</v>
      </c>
      <c r="AR7" s="228">
        <f t="shared" si="0"/>
        <v>0</v>
      </c>
      <c r="AS7" s="228">
        <f t="shared" si="0"/>
        <v>0</v>
      </c>
      <c r="AT7" s="228">
        <f t="shared" si="0"/>
        <v>0</v>
      </c>
      <c r="AU7" s="228">
        <f t="shared" si="0"/>
        <v>0</v>
      </c>
      <c r="AV7" s="228">
        <f t="shared" si="0"/>
        <v>0</v>
      </c>
      <c r="AW7" s="228">
        <f t="shared" si="0"/>
        <v>0</v>
      </c>
      <c r="AX7" s="228">
        <f t="shared" si="0"/>
        <v>0</v>
      </c>
      <c r="AY7" s="228">
        <f t="shared" si="0"/>
        <v>0</v>
      </c>
      <c r="AZ7" s="228">
        <f t="shared" si="0"/>
        <v>0</v>
      </c>
      <c r="BA7" s="228">
        <f t="shared" si="0"/>
        <v>0</v>
      </c>
      <c r="BB7" s="228">
        <f t="shared" si="0"/>
        <v>0</v>
      </c>
      <c r="BC7" s="228">
        <f t="shared" si="0"/>
        <v>0</v>
      </c>
      <c r="BD7" s="228">
        <f t="shared" si="0"/>
        <v>0</v>
      </c>
      <c r="BE7" s="228">
        <f t="shared" si="0"/>
        <v>0</v>
      </c>
    </row>
    <row r="8" spans="2:57">
      <c r="B8" s="222" t="s">
        <v>143</v>
      </c>
      <c r="C8" s="240" t="s">
        <v>159</v>
      </c>
      <c r="D8" s="224" t="s">
        <v>144</v>
      </c>
      <c r="E8" s="225">
        <v>1982</v>
      </c>
      <c r="F8" s="224" t="s">
        <v>138</v>
      </c>
      <c r="G8" s="224" t="s">
        <v>160</v>
      </c>
      <c r="H8" s="230" cm="1">
        <f t="array" ref="H8">IFERROR(INDEX('Ingreso Index Min, Indus y Serv'!$J8:$XFD8,MATCH(H$1,'Ingreso Index Min, Indus y Serv'!$J$1:$XFD$1,0)-3),0)</f>
        <v>221.3</v>
      </c>
      <c r="I8" s="230" cm="1">
        <f t="array" ref="I8">IFERROR(INDEX('Ingreso Index Min, Indus y Serv'!$J8:$XFD8,MATCH(I$1,'Ingreso Index Min, Indus y Serv'!$J$1:$XFD$1,0)-3),0)</f>
        <v>222.2</v>
      </c>
      <c r="J8" s="230" cm="1">
        <f t="array" ref="J8">IFERROR(INDEX('Ingreso Index Min, Indus y Serv'!$J8:$XFD8,MATCH(J$1,'Ingreso Index Min, Indus y Serv'!$J$1:$XFD$1,0)-3),0)</f>
        <v>222.3</v>
      </c>
      <c r="K8" s="230" cm="1">
        <f t="array" ref="K8">IFERROR(INDEX('Ingreso Index Min, Indus y Serv'!$J8:$XFD8,MATCH(K$1,'Ingreso Index Min, Indus y Serv'!$J$1:$XFD$1,0)-3),0)</f>
        <v>0</v>
      </c>
      <c r="L8" s="230" cm="1">
        <f t="array" ref="L8">IFERROR(INDEX('Ingreso Index Min, Indus y Serv'!$J8:$XFD8,MATCH(L$1,'Ingreso Index Min, Indus y Serv'!$J$1:$XFD$1,0)-3),0)</f>
        <v>0</v>
      </c>
      <c r="M8" s="230" cm="1">
        <f t="array" ref="M8">IFERROR(INDEX('Ingreso Index Min, Indus y Serv'!$J8:$XFD8,MATCH(M$1,'Ingreso Index Min, Indus y Serv'!$J$1:$XFD$1,0)-3),0)</f>
        <v>0</v>
      </c>
      <c r="N8" s="230" cm="1">
        <f t="array" ref="N8">IFERROR(INDEX('Ingreso Index Min, Indus y Serv'!$J8:$XFD8,MATCH(N$1,'Ingreso Index Min, Indus y Serv'!$J$1:$XFD$1,0)-3),0)</f>
        <v>0</v>
      </c>
      <c r="O8" s="230" cm="1">
        <f t="array" ref="O8">IFERROR(INDEX('Ingreso Index Min, Indus y Serv'!$J8:$XFD8,MATCH(O$1,'Ingreso Index Min, Indus y Serv'!$J$1:$XFD$1,0)-3),0)</f>
        <v>0</v>
      </c>
      <c r="P8" s="230" cm="1">
        <f t="array" ref="P8">IFERROR(INDEX('Ingreso Index Min, Indus y Serv'!$J8:$XFD8,MATCH(P$1,'Ingreso Index Min, Indus y Serv'!$J$1:$XFD$1,0)-3),0)</f>
        <v>0</v>
      </c>
      <c r="Q8" s="230" cm="1">
        <f t="array" ref="Q8">IFERROR(INDEX('Ingreso Index Min, Indus y Serv'!$J8:$XFD8,MATCH(Q$1,'Ingreso Index Min, Indus y Serv'!$J$1:$XFD$1,0)-3),0)</f>
        <v>0</v>
      </c>
      <c r="R8" s="230" cm="1">
        <f t="array" ref="R8">IFERROR(INDEX('Ingreso Index Min, Indus y Serv'!$J8:$XFD8,MATCH(R$1,'Ingreso Index Min, Indus y Serv'!$J$1:$XFD$1,0)-3),0)</f>
        <v>0</v>
      </c>
      <c r="S8" s="230" cm="1">
        <f t="array" ref="S8">IFERROR(INDEX('Ingreso Index Min, Indus y Serv'!$J8:$XFD8,MATCH(S$1,'Ingreso Index Min, Indus y Serv'!$J$1:$XFD$1,0)-3),0)</f>
        <v>0</v>
      </c>
      <c r="T8" s="230" cm="1">
        <f t="array" ref="T8">IFERROR(INDEX('Ingreso Index Min, Indus y Serv'!$J8:$XFD8,MATCH(T$1,'Ingreso Index Min, Indus y Serv'!$J$1:$XFD$1,0)-3),0)</f>
        <v>0</v>
      </c>
      <c r="U8" s="230" cm="1">
        <f t="array" ref="U8">IFERROR(INDEX('Ingreso Index Min, Indus y Serv'!$J8:$XFD8,MATCH(U$1,'Ingreso Index Min, Indus y Serv'!$J$1:$XFD$1,0)-3),0)</f>
        <v>0</v>
      </c>
      <c r="V8" s="230" cm="1">
        <f t="array" ref="V8">IFERROR(INDEX('Ingreso Index Min, Indus y Serv'!$J8:$XFD8,MATCH(V$1,'Ingreso Index Min, Indus y Serv'!$J$1:$XFD$1,0)-3),0)</f>
        <v>0</v>
      </c>
      <c r="W8" s="230" cm="1">
        <f t="array" ref="W8">IFERROR(INDEX('Ingreso Index Min, Indus y Serv'!$J8:$XFD8,MATCH(W$1,'Ingreso Index Min, Indus y Serv'!$J$1:$XFD$1,0)-3),0)</f>
        <v>0</v>
      </c>
      <c r="X8" s="230" cm="1">
        <f t="array" ref="X8">IFERROR(INDEX('Ingreso Index Min, Indus y Serv'!$J8:$XFD8,MATCH(X$1,'Ingreso Index Min, Indus y Serv'!$J$1:$XFD$1,0)-3),0)</f>
        <v>0</v>
      </c>
      <c r="Y8" s="230" cm="1">
        <f t="array" ref="Y8">IFERROR(INDEX('Ingreso Index Min, Indus y Serv'!$J8:$XFD8,MATCH(Y$1,'Ingreso Index Min, Indus y Serv'!$J$1:$XFD$1,0)-3),0)</f>
        <v>0</v>
      </c>
      <c r="Z8" s="230" cm="1">
        <f t="array" ref="Z8">IFERROR(INDEX('Ingreso Index Min, Indus y Serv'!$J8:$XFD8,MATCH(Z$1,'Ingreso Index Min, Indus y Serv'!$J$1:$XFD$1,0)-3),0)</f>
        <v>0</v>
      </c>
      <c r="AA8" s="230" cm="1">
        <f t="array" ref="AA8">IFERROR(INDEX('Ingreso Index Min, Indus y Serv'!$J8:$XFD8,MATCH(AA$1,'Ingreso Index Min, Indus y Serv'!$J$1:$XFD$1,0)-3),0)</f>
        <v>0</v>
      </c>
      <c r="AB8" s="230" cm="1">
        <f t="array" ref="AB8">IFERROR(INDEX('Ingreso Index Min, Indus y Serv'!$J8:$XFD8,MATCH(AB$1,'Ingreso Index Min, Indus y Serv'!$J$1:$XFD$1,0)-3),0)</f>
        <v>0</v>
      </c>
      <c r="AC8" s="230" cm="1">
        <f t="array" ref="AC8">IFERROR(INDEX('Ingreso Index Min, Indus y Serv'!$J8:$XFD8,MATCH(AC$1,'Ingreso Index Min, Indus y Serv'!$J$1:$XFD$1,0)-3),0)</f>
        <v>0</v>
      </c>
      <c r="AD8" s="230" cm="1">
        <f t="array" ref="AD8">IFERROR(INDEX('Ingreso Index Min, Indus y Serv'!$J8:$XFD8,MATCH(AD$1,'Ingreso Index Min, Indus y Serv'!$J$1:$XFD$1,0)-3),0)</f>
        <v>0</v>
      </c>
      <c r="AE8" s="230" cm="1">
        <f t="array" ref="AE8">IFERROR(INDEX('Ingreso Index Min, Indus y Serv'!$J8:$XFD8,MATCH(AE$1,'Ingreso Index Min, Indus y Serv'!$J$1:$XFD$1,0)-3),0)</f>
        <v>0</v>
      </c>
      <c r="AF8" s="230" cm="1">
        <f t="array" ref="AF8">IFERROR(INDEX('Ingreso Index Min, Indus y Serv'!$J8:$XFD8,MATCH(AF$1,'Ingreso Index Min, Indus y Serv'!$J$1:$XFD$1,0)-3),0)</f>
        <v>0</v>
      </c>
      <c r="AG8" s="230" cm="1">
        <f t="array" ref="AG8">IFERROR(INDEX('Ingreso Index Min, Indus y Serv'!$J8:$XFD8,MATCH(AG$1,'Ingreso Index Min, Indus y Serv'!$J$1:$XFD$1,0)-3),0)</f>
        <v>0</v>
      </c>
      <c r="AH8" s="230" cm="1">
        <f t="array" ref="AH8">IFERROR(INDEX('Ingreso Index Min, Indus y Serv'!$J8:$XFD8,MATCH(AH$1,'Ingreso Index Min, Indus y Serv'!$J$1:$XFD$1,0)-3),0)</f>
        <v>0</v>
      </c>
      <c r="AI8" s="230" cm="1">
        <f t="array" ref="AI8">IFERROR(INDEX('Ingreso Index Min, Indus y Serv'!$J8:$XFD8,MATCH(AI$1,'Ingreso Index Min, Indus y Serv'!$J$1:$XFD$1,0)-3),0)</f>
        <v>0</v>
      </c>
      <c r="AJ8" s="230" cm="1">
        <f t="array" ref="AJ8">IFERROR(INDEX('Ingreso Index Min, Indus y Serv'!$J8:$XFD8,MATCH(AJ$1,'Ingreso Index Min, Indus y Serv'!$J$1:$XFD$1,0)-3),0)</f>
        <v>0</v>
      </c>
      <c r="AK8" s="230" cm="1">
        <f t="array" ref="AK8">IFERROR(INDEX('Ingreso Index Min, Indus y Serv'!$J8:$XFD8,MATCH(AK$1,'Ingreso Index Min, Indus y Serv'!$J$1:$XFD$1,0)-3),0)</f>
        <v>0</v>
      </c>
      <c r="AL8" s="230" cm="1">
        <f t="array" ref="AL8">IFERROR(INDEX('Ingreso Index Min, Indus y Serv'!$J8:$XFD8,MATCH(AL$1,'Ingreso Index Min, Indus y Serv'!$J$1:$XFD$1,0)-3),0)</f>
        <v>0</v>
      </c>
      <c r="AM8" s="230" cm="1">
        <f t="array" ref="AM8">IFERROR(INDEX('Ingreso Index Min, Indus y Serv'!$J8:$XFD8,MATCH(AM$1,'Ingreso Index Min, Indus y Serv'!$J$1:$XFD$1,0)-3),0)</f>
        <v>0</v>
      </c>
      <c r="AN8" s="230" cm="1">
        <f t="array" ref="AN8">IFERROR(INDEX('Ingreso Index Min, Indus y Serv'!$J8:$XFD8,MATCH(AN$1,'Ingreso Index Min, Indus y Serv'!$J$1:$XFD$1,0)-3),0)</f>
        <v>0</v>
      </c>
      <c r="AO8" s="230" cm="1">
        <f t="array" ref="AO8">IFERROR(INDEX('Ingreso Index Min, Indus y Serv'!$J8:$XFD8,MATCH(AO$1,'Ingreso Index Min, Indus y Serv'!$J$1:$XFD$1,0)-3),0)</f>
        <v>0</v>
      </c>
      <c r="AP8" s="230" cm="1">
        <f t="array" ref="AP8">IFERROR(INDEX('Ingreso Index Min, Indus y Serv'!$J8:$XFD8,MATCH(AP$1,'Ingreso Index Min, Indus y Serv'!$J$1:$XFD$1,0)-3),0)</f>
        <v>0</v>
      </c>
      <c r="AQ8" s="230" cm="1">
        <f t="array" ref="AQ8">IFERROR(INDEX('Ingreso Index Min, Indus y Serv'!$J8:$XFD8,MATCH(AQ$1,'Ingreso Index Min, Indus y Serv'!$J$1:$XFD$1,0)-3),0)</f>
        <v>0</v>
      </c>
      <c r="AR8" s="230" cm="1">
        <f t="array" ref="AR8">IFERROR(INDEX('Ingreso Index Min, Indus y Serv'!$J8:$XFD8,MATCH(AR$1,'Ingreso Index Min, Indus y Serv'!$J$1:$XFD$1,0)-3),0)</f>
        <v>0</v>
      </c>
      <c r="AS8" s="230" cm="1">
        <f t="array" ref="AS8">IFERROR(INDEX('Ingreso Index Min, Indus y Serv'!$J8:$XFD8,MATCH(AS$1,'Ingreso Index Min, Indus y Serv'!$J$1:$XFD$1,0)-3),0)</f>
        <v>0</v>
      </c>
      <c r="AT8" s="230" cm="1">
        <f t="array" ref="AT8">IFERROR(INDEX('Ingreso Index Min, Indus y Serv'!$J8:$XFD8,MATCH(AT$1,'Ingreso Index Min, Indus y Serv'!$J$1:$XFD$1,0)-3),0)</f>
        <v>0</v>
      </c>
      <c r="AU8" s="230" cm="1">
        <f t="array" ref="AU8">IFERROR(INDEX('Ingreso Index Min, Indus y Serv'!$J8:$XFD8,MATCH(AU$1,'Ingreso Index Min, Indus y Serv'!$J$1:$XFD$1,0)-3),0)</f>
        <v>0</v>
      </c>
      <c r="AV8" s="230" cm="1">
        <f t="array" ref="AV8">IFERROR(INDEX('Ingreso Index Min, Indus y Serv'!$J8:$XFD8,MATCH(AV$1,'Ingreso Index Min, Indus y Serv'!$J$1:$XFD$1,0)-3),0)</f>
        <v>0</v>
      </c>
      <c r="AW8" s="230" cm="1">
        <f t="array" ref="AW8">IFERROR(INDEX('Ingreso Index Min, Indus y Serv'!$J8:$XFD8,MATCH(AW$1,'Ingreso Index Min, Indus y Serv'!$J$1:$XFD$1,0)-3),0)</f>
        <v>0</v>
      </c>
      <c r="AX8" s="230" cm="1">
        <f t="array" ref="AX8">IFERROR(INDEX('Ingreso Index Min, Indus y Serv'!$J8:$XFD8,MATCH(AX$1,'Ingreso Index Min, Indus y Serv'!$J$1:$XFD$1,0)-3),0)</f>
        <v>0</v>
      </c>
      <c r="AY8" s="230" cm="1">
        <f t="array" ref="AY8">IFERROR(INDEX('Ingreso Index Min, Indus y Serv'!$J8:$XFD8,MATCH(AY$1,'Ingreso Index Min, Indus y Serv'!$J$1:$XFD$1,0)-3),0)</f>
        <v>0</v>
      </c>
      <c r="AZ8" s="230" cm="1">
        <f t="array" ref="AZ8">IFERROR(INDEX('Ingreso Index Min, Indus y Serv'!$J8:$XFD8,MATCH(AZ$1,'Ingreso Index Min, Indus y Serv'!$J$1:$XFD$1,0)-3),0)</f>
        <v>0</v>
      </c>
      <c r="BA8" s="230" cm="1">
        <f t="array" ref="BA8">IFERROR(INDEX('Ingreso Index Min, Indus y Serv'!$J8:$XFD8,MATCH(BA$1,'Ingreso Index Min, Indus y Serv'!$J$1:$XFD$1,0)-3),0)</f>
        <v>0</v>
      </c>
      <c r="BB8" s="230" cm="1">
        <f t="array" ref="BB8">IFERROR(INDEX('Ingreso Index Min, Indus y Serv'!$J8:$XFD8,MATCH(BB$1,'Ingreso Index Min, Indus y Serv'!$J$1:$XFD$1,0)-3),0)</f>
        <v>0</v>
      </c>
      <c r="BC8" s="230" cm="1">
        <f t="array" ref="BC8">IFERROR(INDEX('Ingreso Index Min, Indus y Serv'!$J8:$XFD8,MATCH(BC$1,'Ingreso Index Min, Indus y Serv'!$J$1:$XFD$1,0)-3),0)</f>
        <v>0</v>
      </c>
      <c r="BD8" s="230" cm="1">
        <f t="array" ref="BD8">IFERROR(INDEX('Ingreso Index Min, Indus y Serv'!$J8:$XFD8,MATCH(BD$1,'Ingreso Index Min, Indus y Serv'!$J$1:$XFD$1,0)-3),0)</f>
        <v>0</v>
      </c>
      <c r="BE8" s="230" cm="1">
        <f t="array" ref="BE8">IFERROR(INDEX('Ingreso Index Min, Indus y Serv'!$J8:$XFD8,MATCH(BE$1,'Ingreso Index Min, Indus y Serv'!$J$1:$XFD$1,0)-3),0)</f>
        <v>0</v>
      </c>
    </row>
    <row r="9" spans="2:57">
      <c r="B9" s="222" t="s">
        <v>146</v>
      </c>
      <c r="C9" s="240" t="s">
        <v>161</v>
      </c>
      <c r="D9" s="224" t="s">
        <v>147</v>
      </c>
      <c r="E9" s="225">
        <v>2018</v>
      </c>
      <c r="F9" s="224" t="s">
        <v>148</v>
      </c>
      <c r="G9" s="224" t="s">
        <v>162</v>
      </c>
      <c r="H9" s="230" cm="1">
        <f t="array" ref="H9">IFERROR(INDEX('Ingreso Index Min, Indus y Serv'!$J9:$XFD9,MATCH(H$1,'Ingreso Index Min, Indus y Serv'!$J$1:$XFD$1,0)-2),0)</f>
        <v>103.47</v>
      </c>
      <c r="I9" s="230" cm="1">
        <f t="array" ref="I9">IFERROR(INDEX('Ingreso Index Min, Indus y Serv'!$J9:$XFD9,MATCH(I$1,'Ingreso Index Min, Indus y Serv'!$J$1:$XFD$1,0)-2),0)</f>
        <v>104.96</v>
      </c>
      <c r="J9" s="230" cm="1">
        <f t="array" ref="J9">IFERROR(INDEX('Ingreso Index Min, Indus y Serv'!$J9:$XFD9,MATCH(J$1,'Ingreso Index Min, Indus y Serv'!$J$1:$XFD$1,0)-2),0)</f>
        <v>106.52</v>
      </c>
      <c r="K9" s="230" cm="1">
        <f t="array" ref="K9">IFERROR(INDEX('Ingreso Index Min, Indus y Serv'!$J9:$XFD9,MATCH(K$1,'Ingreso Index Min, Indus y Serv'!$J$1:$XFD$1,0)-2),0)</f>
        <v>0</v>
      </c>
      <c r="L9" s="230" cm="1">
        <f t="array" ref="L9">IFERROR(INDEX('Ingreso Index Min, Indus y Serv'!$J9:$XFD9,MATCH(L$1,'Ingreso Index Min, Indus y Serv'!$J$1:$XFD$1,0)-2),0)</f>
        <v>0</v>
      </c>
      <c r="M9" s="230" cm="1">
        <f t="array" ref="M9">IFERROR(INDEX('Ingreso Index Min, Indus y Serv'!$J9:$XFD9,MATCH(M$1,'Ingreso Index Min, Indus y Serv'!$J$1:$XFD$1,0)-2),0)</f>
        <v>0</v>
      </c>
      <c r="N9" s="230" cm="1">
        <f t="array" ref="N9">IFERROR(INDEX('Ingreso Index Min, Indus y Serv'!$J9:$XFD9,MATCH(N$1,'Ingreso Index Min, Indus y Serv'!$J$1:$XFD$1,0)-2),0)</f>
        <v>0</v>
      </c>
      <c r="O9" s="230" cm="1">
        <f t="array" ref="O9">IFERROR(INDEX('Ingreso Index Min, Indus y Serv'!$J9:$XFD9,MATCH(O$1,'Ingreso Index Min, Indus y Serv'!$J$1:$XFD$1,0)-2),0)</f>
        <v>0</v>
      </c>
      <c r="P9" s="230" cm="1">
        <f t="array" ref="P9">IFERROR(INDEX('Ingreso Index Min, Indus y Serv'!$J9:$XFD9,MATCH(P$1,'Ingreso Index Min, Indus y Serv'!$J$1:$XFD$1,0)-2),0)</f>
        <v>0</v>
      </c>
      <c r="Q9" s="230" cm="1">
        <f t="array" ref="Q9">IFERROR(INDEX('Ingreso Index Min, Indus y Serv'!$J9:$XFD9,MATCH(Q$1,'Ingreso Index Min, Indus y Serv'!$J$1:$XFD$1,0)-2),0)</f>
        <v>0</v>
      </c>
      <c r="R9" s="230" cm="1">
        <f t="array" ref="R9">IFERROR(INDEX('Ingreso Index Min, Indus y Serv'!$J9:$XFD9,MATCH(R$1,'Ingreso Index Min, Indus y Serv'!$J$1:$XFD$1,0)-2),0)</f>
        <v>0</v>
      </c>
      <c r="S9" s="230" cm="1">
        <f t="array" ref="S9">IFERROR(INDEX('Ingreso Index Min, Indus y Serv'!$J9:$XFD9,MATCH(S$1,'Ingreso Index Min, Indus y Serv'!$J$1:$XFD$1,0)-2),0)</f>
        <v>0</v>
      </c>
      <c r="T9" s="230" cm="1">
        <f t="array" ref="T9">IFERROR(INDEX('Ingreso Index Min, Indus y Serv'!$J9:$XFD9,MATCH(T$1,'Ingreso Index Min, Indus y Serv'!$J$1:$XFD$1,0)-2),0)</f>
        <v>0</v>
      </c>
      <c r="U9" s="230" cm="1">
        <f t="array" ref="U9">IFERROR(INDEX('Ingreso Index Min, Indus y Serv'!$J9:$XFD9,MATCH(U$1,'Ingreso Index Min, Indus y Serv'!$J$1:$XFD$1,0)-2),0)</f>
        <v>0</v>
      </c>
      <c r="V9" s="230" cm="1">
        <f t="array" ref="V9">IFERROR(INDEX('Ingreso Index Min, Indus y Serv'!$J9:$XFD9,MATCH(V$1,'Ingreso Index Min, Indus y Serv'!$J$1:$XFD$1,0)-2),0)</f>
        <v>0</v>
      </c>
      <c r="W9" s="230" cm="1">
        <f t="array" ref="W9">IFERROR(INDEX('Ingreso Index Min, Indus y Serv'!$J9:$XFD9,MATCH(W$1,'Ingreso Index Min, Indus y Serv'!$J$1:$XFD$1,0)-2),0)</f>
        <v>0</v>
      </c>
      <c r="X9" s="230" cm="1">
        <f t="array" ref="X9">IFERROR(INDEX('Ingreso Index Min, Indus y Serv'!$J9:$XFD9,MATCH(X$1,'Ingreso Index Min, Indus y Serv'!$J$1:$XFD$1,0)-2),0)</f>
        <v>0</v>
      </c>
      <c r="Y9" s="230" cm="1">
        <f t="array" ref="Y9">IFERROR(INDEX('Ingreso Index Min, Indus y Serv'!$J9:$XFD9,MATCH(Y$1,'Ingreso Index Min, Indus y Serv'!$J$1:$XFD$1,0)-2),0)</f>
        <v>0</v>
      </c>
      <c r="Z9" s="230" cm="1">
        <f t="array" ref="Z9">IFERROR(INDEX('Ingreso Index Min, Indus y Serv'!$J9:$XFD9,MATCH(Z$1,'Ingreso Index Min, Indus y Serv'!$J$1:$XFD$1,0)-2),0)</f>
        <v>0</v>
      </c>
      <c r="AA9" s="230" cm="1">
        <f t="array" ref="AA9">IFERROR(INDEX('Ingreso Index Min, Indus y Serv'!$J9:$XFD9,MATCH(AA$1,'Ingreso Index Min, Indus y Serv'!$J$1:$XFD$1,0)-2),0)</f>
        <v>0</v>
      </c>
      <c r="AB9" s="230" cm="1">
        <f t="array" ref="AB9">IFERROR(INDEX('Ingreso Index Min, Indus y Serv'!$J9:$XFD9,MATCH(AB$1,'Ingreso Index Min, Indus y Serv'!$J$1:$XFD$1,0)-2),0)</f>
        <v>0</v>
      </c>
      <c r="AC9" s="230" cm="1">
        <f t="array" ref="AC9">IFERROR(INDEX('Ingreso Index Min, Indus y Serv'!$J9:$XFD9,MATCH(AC$1,'Ingreso Index Min, Indus y Serv'!$J$1:$XFD$1,0)-2),0)</f>
        <v>0</v>
      </c>
      <c r="AD9" s="230" cm="1">
        <f t="array" ref="AD9">IFERROR(INDEX('Ingreso Index Min, Indus y Serv'!$J9:$XFD9,MATCH(AD$1,'Ingreso Index Min, Indus y Serv'!$J$1:$XFD$1,0)-2),0)</f>
        <v>0</v>
      </c>
      <c r="AE9" s="230" cm="1">
        <f t="array" ref="AE9">IFERROR(INDEX('Ingreso Index Min, Indus y Serv'!$J9:$XFD9,MATCH(AE$1,'Ingreso Index Min, Indus y Serv'!$J$1:$XFD$1,0)-2),0)</f>
        <v>0</v>
      </c>
      <c r="AF9" s="230" cm="1">
        <f t="array" ref="AF9">IFERROR(INDEX('Ingreso Index Min, Indus y Serv'!$J9:$XFD9,MATCH(AF$1,'Ingreso Index Min, Indus y Serv'!$J$1:$XFD$1,0)-2),0)</f>
        <v>0</v>
      </c>
      <c r="AG9" s="230" cm="1">
        <f t="array" ref="AG9">IFERROR(INDEX('Ingreso Index Min, Indus y Serv'!$J9:$XFD9,MATCH(AG$1,'Ingreso Index Min, Indus y Serv'!$J$1:$XFD$1,0)-2),0)</f>
        <v>0</v>
      </c>
      <c r="AH9" s="230" cm="1">
        <f t="array" ref="AH9">IFERROR(INDEX('Ingreso Index Min, Indus y Serv'!$J9:$XFD9,MATCH(AH$1,'Ingreso Index Min, Indus y Serv'!$J$1:$XFD$1,0)-2),0)</f>
        <v>0</v>
      </c>
      <c r="AI9" s="230" cm="1">
        <f t="array" ref="AI9">IFERROR(INDEX('Ingreso Index Min, Indus y Serv'!$J9:$XFD9,MATCH(AI$1,'Ingreso Index Min, Indus y Serv'!$J$1:$XFD$1,0)-2),0)</f>
        <v>0</v>
      </c>
      <c r="AJ9" s="230" cm="1">
        <f t="array" ref="AJ9">IFERROR(INDEX('Ingreso Index Min, Indus y Serv'!$J9:$XFD9,MATCH(AJ$1,'Ingreso Index Min, Indus y Serv'!$J$1:$XFD$1,0)-2),0)</f>
        <v>0</v>
      </c>
      <c r="AK9" s="230" cm="1">
        <f t="array" ref="AK9">IFERROR(INDEX('Ingreso Index Min, Indus y Serv'!$J9:$XFD9,MATCH(AK$1,'Ingreso Index Min, Indus y Serv'!$J$1:$XFD$1,0)-2),0)</f>
        <v>0</v>
      </c>
      <c r="AL9" s="230" cm="1">
        <f t="array" ref="AL9">IFERROR(INDEX('Ingreso Index Min, Indus y Serv'!$J9:$XFD9,MATCH(AL$1,'Ingreso Index Min, Indus y Serv'!$J$1:$XFD$1,0)-2),0)</f>
        <v>0</v>
      </c>
      <c r="AM9" s="230" cm="1">
        <f t="array" ref="AM9">IFERROR(INDEX('Ingreso Index Min, Indus y Serv'!$J9:$XFD9,MATCH(AM$1,'Ingreso Index Min, Indus y Serv'!$J$1:$XFD$1,0)-2),0)</f>
        <v>0</v>
      </c>
      <c r="AN9" s="230" cm="1">
        <f t="array" ref="AN9">IFERROR(INDEX('Ingreso Index Min, Indus y Serv'!$J9:$XFD9,MATCH(AN$1,'Ingreso Index Min, Indus y Serv'!$J$1:$XFD$1,0)-2),0)</f>
        <v>0</v>
      </c>
      <c r="AO9" s="230" cm="1">
        <f t="array" ref="AO9">IFERROR(INDEX('Ingreso Index Min, Indus y Serv'!$J9:$XFD9,MATCH(AO$1,'Ingreso Index Min, Indus y Serv'!$J$1:$XFD$1,0)-2),0)</f>
        <v>0</v>
      </c>
      <c r="AP9" s="230" cm="1">
        <f t="array" ref="AP9">IFERROR(INDEX('Ingreso Index Min, Indus y Serv'!$J9:$XFD9,MATCH(AP$1,'Ingreso Index Min, Indus y Serv'!$J$1:$XFD$1,0)-2),0)</f>
        <v>0</v>
      </c>
      <c r="AQ9" s="230" cm="1">
        <f t="array" ref="AQ9">IFERROR(INDEX('Ingreso Index Min, Indus y Serv'!$J9:$XFD9,MATCH(AQ$1,'Ingreso Index Min, Indus y Serv'!$J$1:$XFD$1,0)-2),0)</f>
        <v>0</v>
      </c>
      <c r="AR9" s="230" cm="1">
        <f t="array" ref="AR9">IFERROR(INDEX('Ingreso Index Min, Indus y Serv'!$J9:$XFD9,MATCH(AR$1,'Ingreso Index Min, Indus y Serv'!$J$1:$XFD$1,0)-2),0)</f>
        <v>0</v>
      </c>
      <c r="AS9" s="230" cm="1">
        <f t="array" ref="AS9">IFERROR(INDEX('Ingreso Index Min, Indus y Serv'!$J9:$XFD9,MATCH(AS$1,'Ingreso Index Min, Indus y Serv'!$J$1:$XFD$1,0)-2),0)</f>
        <v>0</v>
      </c>
      <c r="AT9" s="230" cm="1">
        <f t="array" ref="AT9">IFERROR(INDEX('Ingreso Index Min, Indus y Serv'!$J9:$XFD9,MATCH(AT$1,'Ingreso Index Min, Indus y Serv'!$J$1:$XFD$1,0)-2),0)</f>
        <v>0</v>
      </c>
      <c r="AU9" s="230" cm="1">
        <f t="array" ref="AU9">IFERROR(INDEX('Ingreso Index Min, Indus y Serv'!$J9:$XFD9,MATCH(AU$1,'Ingreso Index Min, Indus y Serv'!$J$1:$XFD$1,0)-2),0)</f>
        <v>0</v>
      </c>
      <c r="AV9" s="230" cm="1">
        <f t="array" ref="AV9">IFERROR(INDEX('Ingreso Index Min, Indus y Serv'!$J9:$XFD9,MATCH(AV$1,'Ingreso Index Min, Indus y Serv'!$J$1:$XFD$1,0)-2),0)</f>
        <v>0</v>
      </c>
      <c r="AW9" s="230" cm="1">
        <f t="array" ref="AW9">IFERROR(INDEX('Ingreso Index Min, Indus y Serv'!$J9:$XFD9,MATCH(AW$1,'Ingreso Index Min, Indus y Serv'!$J$1:$XFD$1,0)-2),0)</f>
        <v>0</v>
      </c>
      <c r="AX9" s="230" cm="1">
        <f t="array" ref="AX9">IFERROR(INDEX('Ingreso Index Min, Indus y Serv'!$J9:$XFD9,MATCH(AX$1,'Ingreso Index Min, Indus y Serv'!$J$1:$XFD$1,0)-2),0)</f>
        <v>0</v>
      </c>
      <c r="AY9" s="230" cm="1">
        <f t="array" ref="AY9">IFERROR(INDEX('Ingreso Index Min, Indus y Serv'!$J9:$XFD9,MATCH(AY$1,'Ingreso Index Min, Indus y Serv'!$J$1:$XFD$1,0)-2),0)</f>
        <v>0</v>
      </c>
      <c r="AZ9" s="230" cm="1">
        <f t="array" ref="AZ9">IFERROR(INDEX('Ingreso Index Min, Indus y Serv'!$J9:$XFD9,MATCH(AZ$1,'Ingreso Index Min, Indus y Serv'!$J$1:$XFD$1,0)-2),0)</f>
        <v>0</v>
      </c>
      <c r="BA9" s="230" cm="1">
        <f t="array" ref="BA9">IFERROR(INDEX('Ingreso Index Min, Indus y Serv'!$J9:$XFD9,MATCH(BA$1,'Ingreso Index Min, Indus y Serv'!$J$1:$XFD$1,0)-2),0)</f>
        <v>0</v>
      </c>
      <c r="BB9" s="230" cm="1">
        <f t="array" ref="BB9">IFERROR(INDEX('Ingreso Index Min, Indus y Serv'!$J9:$XFD9,MATCH(BB$1,'Ingreso Index Min, Indus y Serv'!$J$1:$XFD$1,0)-2),0)</f>
        <v>0</v>
      </c>
      <c r="BC9" s="230" cm="1">
        <f t="array" ref="BC9">IFERROR(INDEX('Ingreso Index Min, Indus y Serv'!$J9:$XFD9,MATCH(BC$1,'Ingreso Index Min, Indus y Serv'!$J$1:$XFD$1,0)-2),0)</f>
        <v>0</v>
      </c>
      <c r="BD9" s="230" cm="1">
        <f t="array" ref="BD9">IFERROR(INDEX('Ingreso Index Min, Indus y Serv'!$J9:$XFD9,MATCH(BD$1,'Ingreso Index Min, Indus y Serv'!$J$1:$XFD$1,0)-2),0)</f>
        <v>0</v>
      </c>
      <c r="BE9" s="230" cm="1">
        <f t="array" ref="BE9">IFERROR(INDEX('Ingreso Index Min, Indus y Serv'!$J9:$XFD9,MATCH(BE$1,'Ingreso Index Min, Indus y Serv'!$J$1:$XFD$1,0)-2),0)</f>
        <v>0</v>
      </c>
    </row>
    <row r="10" spans="2:57">
      <c r="B10" s="202"/>
      <c r="C10" s="202"/>
      <c r="D10" s="202"/>
      <c r="E10" s="202"/>
      <c r="F10" s="202"/>
      <c r="G10" s="202"/>
      <c r="H10" s="202"/>
      <c r="I10" s="205"/>
      <c r="J10" s="205"/>
    </row>
    <row r="11" spans="2:57">
      <c r="B11" s="202"/>
      <c r="C11" s="202"/>
      <c r="I11" s="206"/>
      <c r="J11" s="206"/>
      <c r="K11" s="206"/>
    </row>
    <row r="12" spans="2:57">
      <c r="H12" s="203"/>
    </row>
    <row r="13" spans="2:57">
      <c r="I13" s="207"/>
    </row>
    <row r="14" spans="2:57">
      <c r="I14" s="207"/>
    </row>
    <row r="15" spans="2:57">
      <c r="I15" s="207"/>
    </row>
    <row r="16" spans="2:57">
      <c r="I16" s="207"/>
    </row>
    <row r="17" spans="9:9">
      <c r="I17" s="207"/>
    </row>
    <row r="18" spans="9:9">
      <c r="I18" s="207"/>
    </row>
    <row r="19" spans="9:9">
      <c r="I19" s="207"/>
    </row>
    <row r="20" spans="9:9">
      <c r="I20" s="207"/>
    </row>
    <row r="21" spans="9:9">
      <c r="I21" s="207"/>
    </row>
    <row r="22" spans="9:9">
      <c r="I22" s="207"/>
    </row>
    <row r="23" spans="9:9">
      <c r="I23" s="207"/>
    </row>
    <row r="24" spans="9:9">
      <c r="I24" s="207"/>
    </row>
    <row r="25" spans="9:9">
      <c r="I25" s="207"/>
    </row>
    <row r="26" spans="9:9">
      <c r="I26" s="207"/>
    </row>
    <row r="27" spans="9:9">
      <c r="I27" s="207"/>
    </row>
    <row r="28" spans="9:9">
      <c r="I28" s="207"/>
    </row>
    <row r="29" spans="9:9">
      <c r="I29" s="207"/>
    </row>
    <row r="30" spans="9:9">
      <c r="I30" s="207"/>
    </row>
    <row r="31" spans="9:9">
      <c r="I31" s="207"/>
    </row>
    <row r="32" spans="9:9">
      <c r="I32" s="207"/>
    </row>
    <row r="33" spans="9:9">
      <c r="I33" s="207"/>
    </row>
    <row r="34" spans="9:9">
      <c r="I34" s="207"/>
    </row>
    <row r="35" spans="9:9">
      <c r="I35" s="207"/>
    </row>
    <row r="36" spans="9:9">
      <c r="I36" s="207"/>
    </row>
    <row r="37" spans="9:9">
      <c r="I37" s="207"/>
    </row>
    <row r="38" spans="9:9">
      <c r="I38" s="207"/>
    </row>
    <row r="39" spans="9:9">
      <c r="I39" s="207"/>
    </row>
    <row r="40" spans="9:9">
      <c r="I40" s="207"/>
    </row>
    <row r="41" spans="9:9">
      <c r="I41" s="207"/>
    </row>
    <row r="42" spans="9:9">
      <c r="I42" s="207"/>
    </row>
    <row r="43" spans="9:9">
      <c r="I43" s="207"/>
    </row>
    <row r="44" spans="9:9">
      <c r="I44" s="207"/>
    </row>
    <row r="45" spans="9:9">
      <c r="I45" s="207"/>
    </row>
    <row r="46" spans="9:9">
      <c r="I46" s="207"/>
    </row>
    <row r="47" spans="9:9">
      <c r="I47" s="207"/>
    </row>
    <row r="48" spans="9:9">
      <c r="I48" s="207"/>
    </row>
    <row r="49" spans="9:9">
      <c r="I49" s="207"/>
    </row>
    <row r="50" spans="9:9">
      <c r="I50" s="207"/>
    </row>
    <row r="51" spans="9:9">
      <c r="I51" s="207"/>
    </row>
    <row r="52" spans="9:9">
      <c r="I52" s="207"/>
    </row>
    <row r="53" spans="9:9">
      <c r="I53" s="207"/>
    </row>
    <row r="54" spans="9:9">
      <c r="I54" s="207"/>
    </row>
    <row r="55" spans="9:9">
      <c r="I55" s="207"/>
    </row>
    <row r="56" spans="9:9">
      <c r="I56" s="207"/>
    </row>
    <row r="57" spans="9:9">
      <c r="I57" s="207"/>
    </row>
    <row r="58" spans="9:9">
      <c r="I58" s="207"/>
    </row>
    <row r="59" spans="9:9">
      <c r="I59" s="207"/>
    </row>
    <row r="60" spans="9:9">
      <c r="I60" s="207"/>
    </row>
    <row r="61" spans="9:9">
      <c r="I61" s="207"/>
    </row>
    <row r="62" spans="9:9">
      <c r="I62" s="207"/>
    </row>
    <row r="63" spans="9:9">
      <c r="I63" s="207"/>
    </row>
    <row r="64" spans="9:9">
      <c r="I64" s="207"/>
    </row>
    <row r="65" spans="9:9">
      <c r="I65" s="207"/>
    </row>
    <row r="66" spans="9:9">
      <c r="I66" s="207"/>
    </row>
    <row r="67" spans="9:9">
      <c r="I67" s="207"/>
    </row>
    <row r="68" spans="9:9">
      <c r="I68" s="207"/>
    </row>
    <row r="69" spans="9:9">
      <c r="I69" s="207"/>
    </row>
    <row r="70" spans="9:9">
      <c r="I70" s="207"/>
    </row>
    <row r="71" spans="9:9">
      <c r="I71" s="207"/>
    </row>
    <row r="72" spans="9:9">
      <c r="I72" s="207"/>
    </row>
    <row r="73" spans="9:9">
      <c r="I73" s="207"/>
    </row>
    <row r="74" spans="9:9">
      <c r="I74" s="207"/>
    </row>
    <row r="75" spans="9:9">
      <c r="I75" s="207"/>
    </row>
    <row r="76" spans="9:9">
      <c r="I76" s="207"/>
    </row>
    <row r="77" spans="9:9">
      <c r="I77" s="207"/>
    </row>
    <row r="78" spans="9:9">
      <c r="I78" s="207"/>
    </row>
    <row r="79" spans="9:9">
      <c r="I79" s="207"/>
    </row>
    <row r="80" spans="9:9">
      <c r="I80" s="207"/>
    </row>
    <row r="81" spans="9:9">
      <c r="I81" s="207"/>
    </row>
    <row r="82" spans="9:9">
      <c r="I82" s="207"/>
    </row>
    <row r="83" spans="9:9">
      <c r="I83" s="207"/>
    </row>
    <row r="84" spans="9:9">
      <c r="I84" s="207"/>
    </row>
    <row r="85" spans="9:9">
      <c r="I85" s="207"/>
    </row>
    <row r="86" spans="9:9">
      <c r="I86" s="207"/>
    </row>
    <row r="87" spans="9:9">
      <c r="I87" s="207"/>
    </row>
    <row r="88" spans="9:9">
      <c r="I88" s="207"/>
    </row>
    <row r="89" spans="9:9">
      <c r="I89" s="207"/>
    </row>
    <row r="90" spans="9:9">
      <c r="I90" s="207"/>
    </row>
    <row r="91" spans="9:9">
      <c r="I91" s="207"/>
    </row>
    <row r="92" spans="9:9">
      <c r="I92" s="207"/>
    </row>
    <row r="93" spans="9:9">
      <c r="I93" s="207"/>
    </row>
    <row r="94" spans="9:9">
      <c r="I94" s="207"/>
    </row>
    <row r="95" spans="9:9">
      <c r="I95" s="207"/>
    </row>
    <row r="96" spans="9:9">
      <c r="I96" s="207"/>
    </row>
    <row r="97" spans="9:9">
      <c r="I97" s="207"/>
    </row>
    <row r="98" spans="9:9">
      <c r="I98" s="207"/>
    </row>
    <row r="99" spans="9:9">
      <c r="I99" s="207"/>
    </row>
    <row r="100" spans="9:9">
      <c r="I100" s="207"/>
    </row>
    <row r="101" spans="9:9">
      <c r="I101" s="207"/>
    </row>
    <row r="102" spans="9:9">
      <c r="I102" s="207"/>
    </row>
    <row r="103" spans="9:9">
      <c r="I103" s="207"/>
    </row>
    <row r="104" spans="9:9">
      <c r="I104" s="207"/>
    </row>
    <row r="105" spans="9:9">
      <c r="I105" s="207"/>
    </row>
    <row r="106" spans="9:9">
      <c r="I106" s="207"/>
    </row>
    <row r="107" spans="9:9">
      <c r="I107" s="207"/>
    </row>
    <row r="108" spans="9:9">
      <c r="I108" s="207"/>
    </row>
    <row r="109" spans="9:9">
      <c r="I109" s="207"/>
    </row>
    <row r="110" spans="9:9">
      <c r="I110" s="207"/>
    </row>
    <row r="111" spans="9:9">
      <c r="I111" s="207"/>
    </row>
    <row r="112" spans="9:9">
      <c r="I112" s="207"/>
    </row>
    <row r="113" spans="9:9">
      <c r="I113" s="207"/>
    </row>
    <row r="114" spans="9:9">
      <c r="I114" s="207"/>
    </row>
    <row r="115" spans="9:9">
      <c r="I115" s="207"/>
    </row>
    <row r="116" spans="9:9">
      <c r="I116" s="207"/>
    </row>
    <row r="117" spans="9:9">
      <c r="I117" s="207"/>
    </row>
    <row r="118" spans="9:9">
      <c r="I118" s="207"/>
    </row>
    <row r="119" spans="9:9">
      <c r="I119" s="207"/>
    </row>
    <row r="120" spans="9:9">
      <c r="I120" s="207"/>
    </row>
    <row r="121" spans="9:9">
      <c r="I121" s="207"/>
    </row>
    <row r="122" spans="9:9">
      <c r="I122" s="207"/>
    </row>
    <row r="123" spans="9:9">
      <c r="I123" s="207"/>
    </row>
    <row r="124" spans="9:9">
      <c r="I124" s="207"/>
    </row>
    <row r="125" spans="9:9">
      <c r="I125" s="207"/>
    </row>
    <row r="126" spans="9:9">
      <c r="I126" s="207"/>
    </row>
    <row r="127" spans="9:9">
      <c r="I127" s="207"/>
    </row>
    <row r="128" spans="9:9">
      <c r="I128" s="207"/>
    </row>
    <row r="129" spans="9:9">
      <c r="I129" s="207"/>
    </row>
    <row r="130" spans="9:9">
      <c r="I130" s="207"/>
    </row>
    <row r="131" spans="9:9">
      <c r="I131" s="207"/>
    </row>
    <row r="132" spans="9:9">
      <c r="I132" s="207"/>
    </row>
    <row r="133" spans="9:9">
      <c r="I133" s="207"/>
    </row>
    <row r="134" spans="9:9">
      <c r="I134" s="207"/>
    </row>
    <row r="135" spans="9:9">
      <c r="I135" s="207"/>
    </row>
    <row r="136" spans="9:9">
      <c r="I136" s="207"/>
    </row>
    <row r="137" spans="9:9">
      <c r="I137" s="207"/>
    </row>
    <row r="138" spans="9:9">
      <c r="I138" s="207"/>
    </row>
    <row r="139" spans="9:9">
      <c r="I139" s="207"/>
    </row>
    <row r="140" spans="9:9">
      <c r="I140" s="207"/>
    </row>
    <row r="141" spans="9:9">
      <c r="I141" s="207"/>
    </row>
    <row r="142" spans="9:9">
      <c r="I142" s="207"/>
    </row>
    <row r="143" spans="9:9">
      <c r="I143" s="207"/>
    </row>
    <row r="144" spans="9:9">
      <c r="I144" s="207"/>
    </row>
    <row r="145" spans="9:9">
      <c r="I145" s="207"/>
    </row>
    <row r="146" spans="9:9">
      <c r="I146" s="207"/>
    </row>
    <row r="147" spans="9:9">
      <c r="I147" s="207"/>
    </row>
    <row r="148" spans="9:9">
      <c r="I148" s="207"/>
    </row>
    <row r="149" spans="9:9">
      <c r="I149" s="207"/>
    </row>
    <row r="150" spans="9:9">
      <c r="I150" s="207"/>
    </row>
    <row r="151" spans="9:9">
      <c r="I151" s="207"/>
    </row>
    <row r="152" spans="9:9">
      <c r="I152" s="207"/>
    </row>
    <row r="153" spans="9:9">
      <c r="I153" s="207"/>
    </row>
    <row r="154" spans="9:9">
      <c r="I154" s="207"/>
    </row>
    <row r="155" spans="9:9">
      <c r="I155" s="207"/>
    </row>
    <row r="156" spans="9:9">
      <c r="I156" s="207"/>
    </row>
    <row r="157" spans="9:9">
      <c r="I157" s="207"/>
    </row>
    <row r="158" spans="9:9">
      <c r="I158" s="207"/>
    </row>
    <row r="159" spans="9:9">
      <c r="I159" s="207"/>
    </row>
    <row r="160" spans="9:9">
      <c r="I160" s="207"/>
    </row>
    <row r="161" spans="9:9">
      <c r="I161" s="207"/>
    </row>
    <row r="162" spans="9:9">
      <c r="I162" s="207"/>
    </row>
    <row r="163" spans="9:9">
      <c r="I163" s="207"/>
    </row>
    <row r="164" spans="9:9">
      <c r="I164" s="207"/>
    </row>
    <row r="165" spans="9:9">
      <c r="I165" s="207"/>
    </row>
    <row r="166" spans="9:9">
      <c r="I166" s="207"/>
    </row>
    <row r="167" spans="9:9">
      <c r="I167" s="207"/>
    </row>
    <row r="168" spans="9:9">
      <c r="I168" s="207"/>
    </row>
    <row r="169" spans="9:9">
      <c r="I169" s="207"/>
    </row>
    <row r="170" spans="9:9">
      <c r="I170" s="207"/>
    </row>
    <row r="171" spans="9:9">
      <c r="I171" s="207"/>
    </row>
    <row r="172" spans="9:9">
      <c r="I172" s="207"/>
    </row>
    <row r="173" spans="9:9">
      <c r="I173" s="207"/>
    </row>
    <row r="174" spans="9:9">
      <c r="I174" s="207"/>
    </row>
    <row r="175" spans="9:9">
      <c r="I175" s="207"/>
    </row>
    <row r="176" spans="9:9">
      <c r="I176" s="207"/>
    </row>
    <row r="177" spans="9:9">
      <c r="I177" s="207"/>
    </row>
    <row r="178" spans="9:9">
      <c r="I178" s="207"/>
    </row>
    <row r="179" spans="9:9">
      <c r="I179" s="207"/>
    </row>
    <row r="180" spans="9:9">
      <c r="I180" s="207"/>
    </row>
    <row r="181" spans="9:9">
      <c r="I181" s="207"/>
    </row>
    <row r="182" spans="9:9">
      <c r="I182" s="207"/>
    </row>
    <row r="183" spans="9:9">
      <c r="I183" s="207"/>
    </row>
    <row r="184" spans="9:9">
      <c r="I184" s="207"/>
    </row>
    <row r="185" spans="9:9">
      <c r="I185" s="207"/>
    </row>
    <row r="186" spans="9:9">
      <c r="I186" s="207"/>
    </row>
    <row r="187" spans="9:9">
      <c r="I187" s="207"/>
    </row>
    <row r="188" spans="9:9">
      <c r="I188" s="207"/>
    </row>
    <row r="189" spans="9:9">
      <c r="I189" s="207"/>
    </row>
    <row r="190" spans="9:9">
      <c r="I190" s="207"/>
    </row>
    <row r="191" spans="9:9">
      <c r="I191" s="207"/>
    </row>
    <row r="192" spans="9:9">
      <c r="I192" s="207"/>
    </row>
    <row r="193" spans="9:9">
      <c r="I193" s="207"/>
    </row>
    <row r="194" spans="9:9">
      <c r="I194" s="207"/>
    </row>
    <row r="195" spans="9:9">
      <c r="I195" s="207"/>
    </row>
    <row r="196" spans="9:9">
      <c r="I196" s="207"/>
    </row>
    <row r="197" spans="9:9">
      <c r="I197" s="207"/>
    </row>
    <row r="198" spans="9:9">
      <c r="I198" s="207"/>
    </row>
    <row r="199" spans="9:9">
      <c r="I199" s="207"/>
    </row>
    <row r="200" spans="9:9">
      <c r="I200" s="207"/>
    </row>
    <row r="201" spans="9:9">
      <c r="I201" s="207"/>
    </row>
    <row r="202" spans="9:9">
      <c r="I202" s="207"/>
    </row>
    <row r="203" spans="9:9">
      <c r="I203" s="207"/>
    </row>
    <row r="204" spans="9:9">
      <c r="I204" s="207"/>
    </row>
    <row r="205" spans="9:9">
      <c r="I205" s="207"/>
    </row>
    <row r="206" spans="9:9">
      <c r="I206" s="207"/>
    </row>
    <row r="207" spans="9:9">
      <c r="I207" s="207"/>
    </row>
    <row r="208" spans="9:9">
      <c r="I208" s="207"/>
    </row>
    <row r="209" spans="9:9">
      <c r="I209" s="207"/>
    </row>
    <row r="210" spans="9:9">
      <c r="I210" s="207"/>
    </row>
    <row r="211" spans="9:9">
      <c r="I211" s="207"/>
    </row>
    <row r="212" spans="9:9">
      <c r="I212" s="207"/>
    </row>
    <row r="213" spans="9:9">
      <c r="I213" s="207"/>
    </row>
    <row r="214" spans="9:9">
      <c r="I214" s="207"/>
    </row>
    <row r="215" spans="9:9">
      <c r="I215" s="207"/>
    </row>
    <row r="216" spans="9:9">
      <c r="I216" s="207"/>
    </row>
    <row r="217" spans="9:9">
      <c r="I217" s="207"/>
    </row>
    <row r="218" spans="9:9">
      <c r="I218" s="207"/>
    </row>
    <row r="219" spans="9:9">
      <c r="I219" s="207"/>
    </row>
    <row r="220" spans="9:9">
      <c r="I220" s="207"/>
    </row>
    <row r="221" spans="9:9">
      <c r="I221" s="207"/>
    </row>
    <row r="222" spans="9:9">
      <c r="I222" s="207"/>
    </row>
    <row r="223" spans="9:9">
      <c r="I223" s="207"/>
    </row>
    <row r="224" spans="9:9">
      <c r="I224" s="207"/>
    </row>
    <row r="225" spans="9:9">
      <c r="I225" s="207"/>
    </row>
    <row r="226" spans="9:9">
      <c r="I226" s="207"/>
    </row>
    <row r="227" spans="9:9">
      <c r="I227" s="207"/>
    </row>
    <row r="228" spans="9:9">
      <c r="I228" s="207"/>
    </row>
    <row r="229" spans="9:9">
      <c r="I229" s="207"/>
    </row>
    <row r="230" spans="9:9">
      <c r="I230" s="207"/>
    </row>
    <row r="231" spans="9:9">
      <c r="I231" s="207"/>
    </row>
    <row r="232" spans="9:9">
      <c r="I232" s="207"/>
    </row>
    <row r="233" spans="9:9">
      <c r="I233" s="207"/>
    </row>
    <row r="234" spans="9:9">
      <c r="I234" s="207"/>
    </row>
    <row r="235" spans="9:9">
      <c r="I235" s="207"/>
    </row>
    <row r="236" spans="9:9">
      <c r="I236" s="207"/>
    </row>
    <row r="237" spans="9:9">
      <c r="I237" s="207"/>
    </row>
    <row r="238" spans="9:9">
      <c r="I238" s="207"/>
    </row>
    <row r="239" spans="9:9">
      <c r="I239" s="207"/>
    </row>
    <row r="240" spans="9:9">
      <c r="I240" s="207"/>
    </row>
    <row r="241" spans="9:9">
      <c r="I241" s="207"/>
    </row>
    <row r="242" spans="9:9">
      <c r="I242" s="207"/>
    </row>
    <row r="243" spans="9:9">
      <c r="I243" s="207"/>
    </row>
    <row r="244" spans="9:9">
      <c r="I244" s="207"/>
    </row>
    <row r="245" spans="9:9">
      <c r="I245" s="207"/>
    </row>
    <row r="246" spans="9:9">
      <c r="I246" s="207"/>
    </row>
    <row r="247" spans="9:9">
      <c r="I247" s="207"/>
    </row>
    <row r="248" spans="9:9">
      <c r="I248" s="207"/>
    </row>
    <row r="249" spans="9:9">
      <c r="I249" s="207"/>
    </row>
    <row r="250" spans="9:9">
      <c r="I250" s="207"/>
    </row>
    <row r="251" spans="9:9">
      <c r="I251" s="207"/>
    </row>
    <row r="252" spans="9:9">
      <c r="I252" s="207"/>
    </row>
    <row r="253" spans="9:9">
      <c r="I253" s="207"/>
    </row>
    <row r="254" spans="9:9">
      <c r="I254" s="207"/>
    </row>
    <row r="255" spans="9:9">
      <c r="I255" s="207"/>
    </row>
    <row r="256" spans="9:9">
      <c r="I256" s="207"/>
    </row>
    <row r="257" spans="9:9">
      <c r="I257" s="207"/>
    </row>
    <row r="258" spans="9:9">
      <c r="I258" s="207"/>
    </row>
    <row r="259" spans="9:9">
      <c r="I259" s="207"/>
    </row>
    <row r="260" spans="9:9">
      <c r="I260" s="207"/>
    </row>
    <row r="261" spans="9:9">
      <c r="I261" s="207"/>
    </row>
    <row r="262" spans="9:9">
      <c r="I262" s="207"/>
    </row>
    <row r="263" spans="9:9">
      <c r="I263" s="207"/>
    </row>
    <row r="264" spans="9:9">
      <c r="I264" s="207"/>
    </row>
    <row r="265" spans="9:9">
      <c r="I265" s="207"/>
    </row>
    <row r="266" spans="9:9">
      <c r="I266" s="207"/>
    </row>
    <row r="267" spans="9:9">
      <c r="I267" s="207"/>
    </row>
    <row r="268" spans="9:9">
      <c r="I268" s="207"/>
    </row>
    <row r="269" spans="9:9">
      <c r="I269" s="207"/>
    </row>
    <row r="270" spans="9:9">
      <c r="I270" s="207"/>
    </row>
    <row r="271" spans="9:9">
      <c r="I271" s="207"/>
    </row>
    <row r="272" spans="9:9">
      <c r="I272" s="207"/>
    </row>
    <row r="273" spans="9:9">
      <c r="I273" s="207"/>
    </row>
    <row r="274" spans="9:9">
      <c r="I274" s="207"/>
    </row>
    <row r="275" spans="9:9">
      <c r="I275" s="207"/>
    </row>
    <row r="276" spans="9:9">
      <c r="I276" s="207"/>
    </row>
    <row r="277" spans="9:9">
      <c r="I277" s="207"/>
    </row>
    <row r="278" spans="9:9">
      <c r="I278" s="207"/>
    </row>
    <row r="279" spans="9:9">
      <c r="I279" s="207"/>
    </row>
    <row r="280" spans="9:9">
      <c r="I280" s="207"/>
    </row>
    <row r="281" spans="9:9">
      <c r="I281" s="207"/>
    </row>
    <row r="282" spans="9:9">
      <c r="I282" s="207"/>
    </row>
    <row r="283" spans="9:9">
      <c r="I283" s="207"/>
    </row>
    <row r="284" spans="9:9">
      <c r="I284" s="207"/>
    </row>
    <row r="285" spans="9:9">
      <c r="I285" s="207"/>
    </row>
    <row r="286" spans="9:9">
      <c r="I286" s="207"/>
    </row>
    <row r="287" spans="9:9">
      <c r="I287" s="207"/>
    </row>
    <row r="288" spans="9:9">
      <c r="I288" s="207"/>
    </row>
    <row r="289" spans="9:9">
      <c r="I289" s="207"/>
    </row>
    <row r="290" spans="9:9">
      <c r="I290" s="207"/>
    </row>
    <row r="291" spans="9:9">
      <c r="I291" s="207"/>
    </row>
    <row r="292" spans="9:9">
      <c r="I292" s="207"/>
    </row>
    <row r="293" spans="9:9">
      <c r="I293" s="207"/>
    </row>
    <row r="294" spans="9:9">
      <c r="I294" s="207"/>
    </row>
    <row r="295" spans="9:9">
      <c r="I295" s="207"/>
    </row>
    <row r="296" spans="9:9">
      <c r="I296" s="207"/>
    </row>
    <row r="297" spans="9:9">
      <c r="I297" s="207"/>
    </row>
    <row r="298" spans="9:9">
      <c r="I298" s="207"/>
    </row>
    <row r="299" spans="9:9">
      <c r="I299" s="207"/>
    </row>
    <row r="300" spans="9:9">
      <c r="I300" s="207"/>
    </row>
    <row r="301" spans="9:9">
      <c r="I301" s="207"/>
    </row>
    <row r="302" spans="9:9">
      <c r="I302" s="207"/>
    </row>
    <row r="303" spans="9:9">
      <c r="I303" s="207"/>
    </row>
    <row r="304" spans="9:9">
      <c r="I304" s="207"/>
    </row>
    <row r="305" spans="9:9">
      <c r="I305" s="207"/>
    </row>
    <row r="306" spans="9:9">
      <c r="I306" s="207"/>
    </row>
    <row r="307" spans="9:9">
      <c r="I307" s="207"/>
    </row>
    <row r="308" spans="9:9">
      <c r="I308" s="207"/>
    </row>
    <row r="309" spans="9:9">
      <c r="I309" s="207"/>
    </row>
    <row r="310" spans="9:9">
      <c r="I310" s="207"/>
    </row>
    <row r="311" spans="9:9">
      <c r="I311" s="207"/>
    </row>
    <row r="312" spans="9:9">
      <c r="I312" s="207"/>
    </row>
    <row r="313" spans="9:9">
      <c r="I313" s="207"/>
    </row>
    <row r="314" spans="9:9">
      <c r="I314" s="207"/>
    </row>
    <row r="315" spans="9:9">
      <c r="I315" s="207"/>
    </row>
    <row r="316" spans="9:9">
      <c r="I316" s="207"/>
    </row>
    <row r="317" spans="9:9">
      <c r="I317" s="207"/>
    </row>
    <row r="318" spans="9:9">
      <c r="I318" s="207"/>
    </row>
    <row r="319" spans="9:9">
      <c r="I319" s="207"/>
    </row>
    <row r="320" spans="9:9">
      <c r="I320" s="207"/>
    </row>
    <row r="321" spans="9:9">
      <c r="I321" s="207"/>
    </row>
    <row r="322" spans="9:9">
      <c r="I322" s="207"/>
    </row>
    <row r="323" spans="9:9">
      <c r="I323" s="207"/>
    </row>
    <row r="324" spans="9:9">
      <c r="I324" s="207"/>
    </row>
    <row r="325" spans="9:9">
      <c r="I325" s="207"/>
    </row>
    <row r="326" spans="9:9">
      <c r="I326" s="207"/>
    </row>
    <row r="327" spans="9:9">
      <c r="I327" s="207"/>
    </row>
    <row r="328" spans="9:9">
      <c r="I328" s="207"/>
    </row>
    <row r="329" spans="9:9">
      <c r="I329" s="207"/>
    </row>
    <row r="330" spans="9:9">
      <c r="I330" s="207"/>
    </row>
    <row r="331" spans="9:9">
      <c r="I331" s="207"/>
    </row>
    <row r="332" spans="9:9">
      <c r="I332" s="207"/>
    </row>
    <row r="333" spans="9:9">
      <c r="I333" s="207"/>
    </row>
    <row r="334" spans="9:9">
      <c r="I334" s="207"/>
    </row>
    <row r="335" spans="9:9">
      <c r="I335" s="207"/>
    </row>
    <row r="336" spans="9:9">
      <c r="I336" s="207"/>
    </row>
  </sheetData>
  <sheetProtection algorithmName="SHA-512" hashValue="YuqemIa8S/hagnw4NBlr81zTcgcZu4FL3/KyhG+O3RJJG4X+2EB/PMOl/P6yii6YQTH5aPCuRj3jowYY/NrqHQ==" saltValue="fLXq1Hl1b49Ai7izXMB5/w==" spinCount="100000" sheet="1" objects="1" scenarios="1"/>
  <dataValidations count="2">
    <dataValidation allowBlank="1" showInputMessage="1" showErrorMessage="1" prompt="Valor calulado en base al precio diésel US$/M3 y tipo de cambio promedio mensual" sqref="B7:C7" xr:uid="{51D25087-9D1D-426D-AB8F-C49A8271BDEB}"/>
    <dataValidation allowBlank="1" showInputMessage="1" showErrorMessage="1" prompt="Esta hoja se actualiza sola, en base a los valores actualizados en &quot;Ingreso Index Min, Indus y Serv&quot;." sqref="D1:G4 D6:G9" xr:uid="{D4158374-0E92-47A9-9AB5-86683D3664B1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DAF20-8241-4061-B5D9-9695EB91369B}">
  <dimension ref="B2:P28"/>
  <sheetViews>
    <sheetView workbookViewId="0">
      <selection activeCell="J10" sqref="J10:J11"/>
    </sheetView>
  </sheetViews>
  <sheetFormatPr defaultColWidth="11.42578125" defaultRowHeight="14.45"/>
  <cols>
    <col min="1" max="1" width="11.42578125" style="3"/>
    <col min="2" max="2" width="24" style="3" customWidth="1"/>
    <col min="3" max="3" width="15.85546875" style="3" customWidth="1"/>
    <col min="4" max="4" width="13" style="3" customWidth="1"/>
    <col min="5" max="5" width="16.7109375" style="3" customWidth="1"/>
    <col min="6" max="6" width="11.42578125" style="3"/>
    <col min="7" max="7" width="19.140625" style="3" customWidth="1"/>
    <col min="8" max="11" width="11.42578125" style="3"/>
    <col min="12" max="12" width="17.140625" style="3" customWidth="1"/>
    <col min="13" max="13" width="13.140625" style="3" customWidth="1"/>
    <col min="14" max="14" width="13.7109375" style="3" customWidth="1"/>
    <col min="15" max="15" width="11.42578125" style="3"/>
    <col min="16" max="16" width="15.42578125" style="3" customWidth="1"/>
    <col min="17" max="16384" width="11.42578125" style="3"/>
  </cols>
  <sheetData>
    <row r="2" spans="2:16" ht="15" thickBot="1">
      <c r="B2" s="161" t="s">
        <v>43</v>
      </c>
      <c r="G2" s="161" t="s">
        <v>163</v>
      </c>
    </row>
    <row r="3" spans="2:16" ht="15" thickBot="1">
      <c r="B3" s="350" t="s">
        <v>164</v>
      </c>
      <c r="C3" s="351"/>
      <c r="D3" s="351"/>
      <c r="E3" s="352"/>
      <c r="G3" s="123" t="s">
        <v>165</v>
      </c>
      <c r="H3" s="176" t="s">
        <v>116</v>
      </c>
      <c r="I3" s="176" t="s">
        <v>116</v>
      </c>
      <c r="J3" s="176" t="s">
        <v>116</v>
      </c>
      <c r="K3" s="176" t="s">
        <v>118</v>
      </c>
      <c r="L3" s="176" t="s">
        <v>118</v>
      </c>
      <c r="M3" s="176" t="s">
        <v>124</v>
      </c>
      <c r="N3" s="176" t="s">
        <v>124</v>
      </c>
      <c r="O3" s="176" t="s">
        <v>124</v>
      </c>
      <c r="P3" s="177" t="s">
        <v>124</v>
      </c>
    </row>
    <row r="4" spans="2:16" ht="15" thickTop="1">
      <c r="B4" s="158" t="s">
        <v>166</v>
      </c>
      <c r="C4" s="159" t="s">
        <v>167</v>
      </c>
      <c r="D4" s="159" t="s">
        <v>168</v>
      </c>
      <c r="E4" s="160" t="s">
        <v>169</v>
      </c>
      <c r="G4" s="124" t="s">
        <v>170</v>
      </c>
      <c r="H4" s="178" t="s">
        <v>129</v>
      </c>
      <c r="I4" s="178" t="s">
        <v>171</v>
      </c>
      <c r="J4" s="178" t="s">
        <v>172</v>
      </c>
      <c r="K4" s="178" t="s">
        <v>173</v>
      </c>
      <c r="L4" s="178" t="s">
        <v>174</v>
      </c>
      <c r="M4" s="178" t="s">
        <v>125</v>
      </c>
      <c r="N4" s="178" t="s">
        <v>175</v>
      </c>
      <c r="O4" s="178" t="s">
        <v>176</v>
      </c>
      <c r="P4" s="179" t="s">
        <v>177</v>
      </c>
    </row>
    <row r="5" spans="2:16" ht="15" thickBot="1">
      <c r="B5" s="125" t="s">
        <v>55</v>
      </c>
      <c r="C5" s="91">
        <v>106</v>
      </c>
      <c r="D5" s="91">
        <v>2265.815435105656</v>
      </c>
      <c r="E5" s="126">
        <f>D5/$D$14</f>
        <v>0.36183264848322927</v>
      </c>
      <c r="G5" s="122" t="s">
        <v>178</v>
      </c>
      <c r="H5" s="180" t="s">
        <v>179</v>
      </c>
      <c r="I5" s="180" t="s">
        <v>171</v>
      </c>
      <c r="J5" s="180" t="s">
        <v>180</v>
      </c>
      <c r="K5" s="180" t="s">
        <v>118</v>
      </c>
      <c r="L5" s="180" t="s">
        <v>181</v>
      </c>
      <c r="M5" s="180" t="s">
        <v>125</v>
      </c>
      <c r="N5" s="180" t="s">
        <v>182</v>
      </c>
      <c r="O5" s="180" t="s">
        <v>176</v>
      </c>
      <c r="P5" s="181" t="s">
        <v>177</v>
      </c>
    </row>
    <row r="6" spans="2:16">
      <c r="B6" s="125" t="s">
        <v>56</v>
      </c>
      <c r="C6" s="91">
        <v>1045</v>
      </c>
      <c r="D6" s="91">
        <v>789.49093604227153</v>
      </c>
      <c r="E6" s="126">
        <f t="shared" ref="E6:E9" si="0">D6/$D$14</f>
        <v>0.12607540398733239</v>
      </c>
      <c r="G6" s="90"/>
    </row>
    <row r="7" spans="2:16" ht="15" thickBot="1">
      <c r="B7" s="125" t="s">
        <v>57</v>
      </c>
      <c r="C7" s="91">
        <v>335</v>
      </c>
      <c r="D7" s="91">
        <v>120.05514735999989</v>
      </c>
      <c r="E7" s="126">
        <f t="shared" si="0"/>
        <v>1.9171849242560882E-2</v>
      </c>
      <c r="G7" s="182" t="s">
        <v>183</v>
      </c>
    </row>
    <row r="8" spans="2:16">
      <c r="B8" s="125" t="s">
        <v>184</v>
      </c>
      <c r="C8" s="91">
        <f>466+132</f>
        <v>598</v>
      </c>
      <c r="D8" s="91">
        <f>98.8643064639998+37.638438147</f>
        <v>136.5027446109998</v>
      </c>
      <c r="E8" s="126">
        <f t="shared" si="0"/>
        <v>2.1798399305866134E-2</v>
      </c>
      <c r="G8" s="162" t="s">
        <v>34</v>
      </c>
      <c r="H8" s="119" t="s">
        <v>179</v>
      </c>
      <c r="I8" s="120" t="s">
        <v>171</v>
      </c>
      <c r="J8" s="119" t="s">
        <v>180</v>
      </c>
      <c r="K8" s="121" t="s">
        <v>118</v>
      </c>
      <c r="L8" s="120" t="s">
        <v>181</v>
      </c>
      <c r="M8" s="119" t="s">
        <v>125</v>
      </c>
      <c r="N8" s="121" t="s">
        <v>182</v>
      </c>
      <c r="O8" s="121" t="s">
        <v>176</v>
      </c>
      <c r="P8" s="120" t="s">
        <v>177</v>
      </c>
    </row>
    <row r="9" spans="2:16">
      <c r="B9" s="125" t="s">
        <v>185</v>
      </c>
      <c r="C9" s="91">
        <v>160</v>
      </c>
      <c r="D9" s="91">
        <v>293.24092398099958</v>
      </c>
      <c r="E9" s="126">
        <f t="shared" si="0"/>
        <v>4.6828236105985695E-2</v>
      </c>
      <c r="G9" s="137" t="s">
        <v>186</v>
      </c>
      <c r="H9" s="172">
        <v>401.41300000000001</v>
      </c>
      <c r="I9" s="172">
        <v>194.511</v>
      </c>
      <c r="J9" s="172">
        <v>468.024</v>
      </c>
      <c r="K9" s="172">
        <v>5842.2470000000003</v>
      </c>
      <c r="L9" s="172">
        <v>468.74799999999999</v>
      </c>
      <c r="M9" s="172">
        <v>9165.0259999999998</v>
      </c>
      <c r="N9" s="172">
        <v>1568.383</v>
      </c>
      <c r="O9" s="172">
        <v>429.40600000000001</v>
      </c>
      <c r="P9" s="173">
        <v>186.94900000000001</v>
      </c>
    </row>
    <row r="10" spans="2:16" ht="15" thickBot="1">
      <c r="B10" s="127" t="s">
        <v>187</v>
      </c>
      <c r="C10" s="92">
        <f>SUM(C5:C9)</f>
        <v>2244</v>
      </c>
      <c r="D10" s="92">
        <f>SUM(D5:D9)</f>
        <v>3605.1051870999268</v>
      </c>
      <c r="E10" s="128">
        <f>SUM(E5:E9)</f>
        <v>0.57570653712497444</v>
      </c>
      <c r="G10" s="137" t="s">
        <v>188</v>
      </c>
      <c r="H10" s="172">
        <v>684.37</v>
      </c>
      <c r="I10" s="172">
        <v>301.82799999999997</v>
      </c>
      <c r="J10" s="172">
        <v>333.02499999999998</v>
      </c>
      <c r="K10" s="172">
        <v>5463.0029999999997</v>
      </c>
      <c r="L10" s="172">
        <v>316.21699999999998</v>
      </c>
      <c r="M10" s="172">
        <v>12527.092000000001</v>
      </c>
      <c r="N10" s="172">
        <v>1960.204</v>
      </c>
      <c r="O10" s="172">
        <v>1880.2860000000001</v>
      </c>
      <c r="P10" s="173">
        <v>282.19400000000002</v>
      </c>
    </row>
    <row r="11" spans="2:16" ht="15.6" thickTop="1" thickBot="1">
      <c r="B11" s="129" t="s">
        <v>189</v>
      </c>
      <c r="C11" s="91">
        <v>6642669</v>
      </c>
      <c r="D11" s="91">
        <v>1549.8728947350148</v>
      </c>
      <c r="E11" s="126">
        <f>D11/$D$14</f>
        <v>0.24750233652115158</v>
      </c>
      <c r="G11" s="138" t="s">
        <v>190</v>
      </c>
      <c r="H11" s="174">
        <v>1085.7829999999999</v>
      </c>
      <c r="I11" s="174">
        <v>496.339</v>
      </c>
      <c r="J11" s="174">
        <v>801.04899999999998</v>
      </c>
      <c r="K11" s="174">
        <v>11305.25</v>
      </c>
      <c r="L11" s="174">
        <v>784.96500000000003</v>
      </c>
      <c r="M11" s="174">
        <v>21692.117999999999</v>
      </c>
      <c r="N11" s="174">
        <v>3528.587</v>
      </c>
      <c r="O11" s="174">
        <v>2309.692</v>
      </c>
      <c r="P11" s="175">
        <v>469.14299999999997</v>
      </c>
    </row>
    <row r="12" spans="2:16">
      <c r="B12" s="129" t="s">
        <v>191</v>
      </c>
      <c r="C12" s="91">
        <v>193909</v>
      </c>
      <c r="D12" s="91">
        <v>1107.0755073139524</v>
      </c>
      <c r="E12" s="126">
        <f>D12/$D$14</f>
        <v>0.17679112635387401</v>
      </c>
    </row>
    <row r="13" spans="2:16" ht="15" thickBot="1">
      <c r="B13" s="127" t="s">
        <v>192</v>
      </c>
      <c r="C13" s="92">
        <f>SUM(C11:C12)</f>
        <v>6836578</v>
      </c>
      <c r="D13" s="92">
        <f>SUM(D11:D12)</f>
        <v>2656.9484020489672</v>
      </c>
      <c r="E13" s="130">
        <f>SUM(E11:E12)</f>
        <v>0.42429346287502556</v>
      </c>
      <c r="G13" s="161" t="s">
        <v>193</v>
      </c>
    </row>
    <row r="14" spans="2:16" ht="15.6" thickTop="1" thickBot="1">
      <c r="B14" s="131" t="s">
        <v>194</v>
      </c>
      <c r="C14" s="132">
        <v>6838822</v>
      </c>
      <c r="D14" s="132">
        <v>6262.0535891488944</v>
      </c>
      <c r="E14" s="133">
        <f>E10+E13</f>
        <v>1</v>
      </c>
      <c r="G14" s="134" t="s">
        <v>34</v>
      </c>
      <c r="H14" s="119" t="s">
        <v>179</v>
      </c>
      <c r="I14" s="120" t="s">
        <v>171</v>
      </c>
      <c r="J14" s="119" t="s">
        <v>180</v>
      </c>
      <c r="K14" s="121" t="s">
        <v>118</v>
      </c>
      <c r="L14" s="120" t="s">
        <v>181</v>
      </c>
      <c r="M14" s="119" t="s">
        <v>125</v>
      </c>
      <c r="N14" s="121" t="s">
        <v>182</v>
      </c>
      <c r="O14" s="121" t="s">
        <v>176</v>
      </c>
      <c r="P14" s="120" t="s">
        <v>177</v>
      </c>
    </row>
    <row r="15" spans="2:16">
      <c r="G15" s="135" t="s">
        <v>186</v>
      </c>
      <c r="H15" s="163">
        <f t="shared" ref="H15:P15" si="1">+H9/H$11</f>
        <v>0.36969910193841682</v>
      </c>
      <c r="I15" s="164">
        <f t="shared" si="1"/>
        <v>0.3918914290434562</v>
      </c>
      <c r="J15" s="165">
        <f t="shared" si="1"/>
        <v>0.58426388398212847</v>
      </c>
      <c r="K15" s="166">
        <f t="shared" si="1"/>
        <v>0.51677291523849544</v>
      </c>
      <c r="L15" s="167">
        <f t="shared" si="1"/>
        <v>0.59715783506270981</v>
      </c>
      <c r="M15" s="163">
        <f t="shared" si="1"/>
        <v>0.42250489325200979</v>
      </c>
      <c r="N15" s="168">
        <f t="shared" si="1"/>
        <v>0.44447905067949295</v>
      </c>
      <c r="O15" s="168">
        <f t="shared" si="1"/>
        <v>0.18591483193430119</v>
      </c>
      <c r="P15" s="164">
        <f t="shared" si="1"/>
        <v>0.39849043894931829</v>
      </c>
    </row>
    <row r="16" spans="2:16">
      <c r="B16" s="6" t="s">
        <v>195</v>
      </c>
      <c r="G16" s="135" t="s">
        <v>188</v>
      </c>
      <c r="H16" s="163">
        <f t="shared" ref="H16:P16" si="2">+H10/H$11</f>
        <v>0.63030089806158329</v>
      </c>
      <c r="I16" s="164">
        <f t="shared" si="2"/>
        <v>0.6081085709565438</v>
      </c>
      <c r="J16" s="165">
        <f t="shared" si="2"/>
        <v>0.41573611601787153</v>
      </c>
      <c r="K16" s="166">
        <f t="shared" si="2"/>
        <v>0.48322708476150461</v>
      </c>
      <c r="L16" s="167">
        <f t="shared" si="2"/>
        <v>0.40284216493729014</v>
      </c>
      <c r="M16" s="163">
        <f t="shared" si="2"/>
        <v>0.57749510674799032</v>
      </c>
      <c r="N16" s="168">
        <f t="shared" si="2"/>
        <v>0.555520949320507</v>
      </c>
      <c r="O16" s="168">
        <f t="shared" si="2"/>
        <v>0.81408516806569886</v>
      </c>
      <c r="P16" s="164">
        <f t="shared" si="2"/>
        <v>0.60150956105068187</v>
      </c>
    </row>
    <row r="17" spans="2:16" ht="15" thickBot="1">
      <c r="G17" s="136" t="s">
        <v>190</v>
      </c>
      <c r="H17" s="169">
        <f t="shared" ref="H17:P17" si="3">+H11/H$11</f>
        <v>1</v>
      </c>
      <c r="I17" s="170">
        <f t="shared" si="3"/>
        <v>1</v>
      </c>
      <c r="J17" s="169">
        <f t="shared" si="3"/>
        <v>1</v>
      </c>
      <c r="K17" s="171">
        <f t="shared" si="3"/>
        <v>1</v>
      </c>
      <c r="L17" s="170">
        <f t="shared" si="3"/>
        <v>1</v>
      </c>
      <c r="M17" s="169">
        <f t="shared" si="3"/>
        <v>1</v>
      </c>
      <c r="N17" s="171">
        <f t="shared" si="3"/>
        <v>1</v>
      </c>
      <c r="O17" s="171">
        <f t="shared" si="3"/>
        <v>1</v>
      </c>
      <c r="P17" s="170">
        <f t="shared" si="3"/>
        <v>1</v>
      </c>
    </row>
    <row r="18" spans="2:16">
      <c r="B18" s="6"/>
    </row>
    <row r="20" spans="2:16">
      <c r="H20" s="93"/>
    </row>
    <row r="21" spans="2:16">
      <c r="H21" s="93"/>
    </row>
    <row r="22" spans="2:16">
      <c r="H22" s="93"/>
    </row>
    <row r="23" spans="2:16">
      <c r="H23" s="93"/>
    </row>
    <row r="24" spans="2:16">
      <c r="H24" s="93"/>
    </row>
    <row r="25" spans="2:16">
      <c r="H25" s="93"/>
    </row>
    <row r="26" spans="2:16">
      <c r="H26" s="93"/>
    </row>
    <row r="27" spans="2:16">
      <c r="H27" s="93"/>
    </row>
    <row r="28" spans="2:16">
      <c r="H28" s="93"/>
    </row>
  </sheetData>
  <sheetProtection algorithmName="SHA-512" hashValue="yv6IjFEVFI0cGQ8O0qZQeVXJXeyBnIb2M2i6TGerL7o1OvGwu+hO+iIZS8R9Dm1DChNqlIPDr2/KQpoOtGV2Fg==" saltValue="N/igOEc0gd2uSbN202a9iw==" spinCount="100000" sheet="1" objects="1" scenarios="1"/>
  <mergeCells count="1">
    <mergeCell ref="B3:E3"/>
  </mergeCells>
  <pageMargins left="0.7" right="0.7" top="0.75" bottom="0.75" header="0.3" footer="0.3"/>
  <ignoredErrors>
    <ignoredError sqref="E1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66104-4953-4453-959E-2DC8090825EF}">
  <sheetPr codeName="Hoja3"/>
  <dimension ref="B1:AD97"/>
  <sheetViews>
    <sheetView topLeftCell="N35" zoomScale="80" zoomScaleNormal="80" workbookViewId="0">
      <selection activeCell="AD54" sqref="AD54:AD60"/>
    </sheetView>
  </sheetViews>
  <sheetFormatPr defaultColWidth="11.42578125" defaultRowHeight="14.45"/>
  <cols>
    <col min="2" max="2" width="44.140625" bestFit="1" customWidth="1"/>
    <col min="3" max="3" width="16.140625" bestFit="1" customWidth="1"/>
    <col min="4" max="4" width="12.28515625" bestFit="1" customWidth="1"/>
    <col min="5" max="5" width="13.5703125" bestFit="1" customWidth="1"/>
    <col min="6" max="6" width="14.5703125" bestFit="1" customWidth="1"/>
    <col min="8" max="8" width="44.140625" bestFit="1" customWidth="1"/>
    <col min="9" max="9" width="15.28515625" bestFit="1" customWidth="1"/>
    <col min="10" max="10" width="11.28515625" bestFit="1" customWidth="1"/>
    <col min="11" max="11" width="12.140625" bestFit="1" customWidth="1"/>
    <col min="12" max="12" width="12.28515625" bestFit="1" customWidth="1"/>
    <col min="13" max="13" width="25.85546875" bestFit="1" customWidth="1"/>
    <col min="14" max="14" width="16.85546875" customWidth="1"/>
    <col min="16" max="16" width="39.42578125" bestFit="1" customWidth="1"/>
    <col min="29" max="29" width="19.5703125" bestFit="1" customWidth="1"/>
  </cols>
  <sheetData>
    <row r="1" spans="2:14" ht="15" thickBot="1">
      <c r="B1" s="358" t="s">
        <v>196</v>
      </c>
      <c r="C1" s="359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s="3" customFormat="1" ht="15" thickTop="1">
      <c r="B2" s="40" t="s">
        <v>151</v>
      </c>
      <c r="C2" s="241">
        <f>INDEX('Select Index Min, Indust y Serv'!I:XFD,MATCH(B2,'Select Index Min, Indust y Serv'!$C$1:$C$9,0),MATCH(Resultados!D6,'Select Index Min, Indust y Serv'!I1:XFD1,0))/'Select Index Min, Indust y Serv'!H2</f>
        <v>1.0113825191093386</v>
      </c>
      <c r="E2" s="244"/>
      <c r="F2" s="243"/>
      <c r="G2" s="243"/>
    </row>
    <row r="3" spans="2:14" s="3" customFormat="1">
      <c r="B3" s="40" t="s">
        <v>153</v>
      </c>
      <c r="C3" s="241">
        <f>INDEX('Select Index Min, Indust y Serv'!I:XFD,MATCH(B3,'Select Index Min, Indust y Serv'!$C$1:$C$9,0),MATCH(Resultados!D6,'Select Index Min, Indust y Serv'!I1:XFD1,0))/'Select Index Min, Indust y Serv'!H3</f>
        <v>1.2008523757707654</v>
      </c>
      <c r="E3" s="244"/>
      <c r="F3" s="243"/>
      <c r="G3" s="243"/>
    </row>
    <row r="4" spans="2:14" s="3" customFormat="1">
      <c r="B4" s="40" t="s">
        <v>154</v>
      </c>
      <c r="C4" s="241">
        <f>INDEX('Select Index Min, Indust y Serv'!I:XFD,MATCH(B4,'Select Index Min, Indust y Serv'!$C$1:$C$9,0),MATCH(Resultados!D6,'Select Index Min, Indust y Serv'!I1:XFD1,0))/'Select Index Min, Indust y Serv'!H4</f>
        <v>1.0374876979511496</v>
      </c>
      <c r="E4" s="244"/>
      <c r="F4" s="243"/>
      <c r="G4" s="243"/>
    </row>
    <row r="5" spans="2:14" s="3" customFormat="1">
      <c r="B5" s="40" t="s">
        <v>158</v>
      </c>
      <c r="C5" s="241">
        <f>INDEX('Select Index Min, Indust y Serv'!I:XFD,MATCH(B5,'Select Index Min, Indust y Serv'!$C$1:$C$9,0),MATCH(Resultados!D6,'Select Index Min, Indust y Serv'!I1:XFD1,0))/'Select Index Min, Indust y Serv'!H7</f>
        <v>0.56511234148053879</v>
      </c>
      <c r="E5" s="244"/>
      <c r="F5" s="243"/>
      <c r="G5" s="243"/>
    </row>
    <row r="6" spans="2:14" s="3" customFormat="1">
      <c r="B6" s="40" t="s">
        <v>159</v>
      </c>
      <c r="C6" s="241">
        <f>INDEX('Select Index Min, Indust y Serv'!I:XFD,MATCH(B6,'Select Index Min, Indust y Serv'!$C$1:$C$9,0),MATCH(Resultados!D6,'Select Index Min, Indust y Serv'!I1:XFD1,0))/'Select Index Min, Indust y Serv'!H8</f>
        <v>1.0045187528242205</v>
      </c>
      <c r="E6" s="244"/>
      <c r="F6" s="243"/>
      <c r="G6" s="243"/>
    </row>
    <row r="7" spans="2:14" s="3" customFormat="1" ht="15" thickBot="1">
      <c r="B7" s="41" t="s">
        <v>161</v>
      </c>
      <c r="C7" s="242">
        <f>INDEX('Select Index Min, Indust y Serv'!I:XFD,MATCH(B7,'Select Index Min, Indust y Serv'!$C$1:$C$9,0),MATCH(Resultados!D6,'Select Index Min, Indust y Serv'!I1:XFD1,0))/'Select Index Min, Indust y Serv'!H9</f>
        <v>1.0294771431332752</v>
      </c>
      <c r="E7" s="244"/>
      <c r="F7" s="243"/>
      <c r="G7" s="243"/>
    </row>
    <row r="8" spans="2:14" s="3" customFormat="1">
      <c r="B8" s="69"/>
      <c r="C8" s="86"/>
      <c r="F8" s="243"/>
    </row>
    <row r="9" spans="2:14" s="3" customFormat="1">
      <c r="B9" s="6"/>
    </row>
    <row r="10" spans="2:14" ht="16.149999999999999" thickBot="1">
      <c r="B10" s="5" t="s">
        <v>55</v>
      </c>
      <c r="C10" s="12" t="s">
        <v>36</v>
      </c>
      <c r="D10" s="12" t="s">
        <v>37</v>
      </c>
      <c r="E10" s="12" t="s">
        <v>38</v>
      </c>
      <c r="F10" s="12" t="s">
        <v>39</v>
      </c>
      <c r="G10" s="3"/>
      <c r="H10" s="5" t="s">
        <v>55</v>
      </c>
      <c r="I10" s="278" t="s">
        <v>36</v>
      </c>
      <c r="J10" s="278" t="s">
        <v>37</v>
      </c>
      <c r="K10" s="278" t="s">
        <v>38</v>
      </c>
      <c r="L10" s="278" t="s">
        <v>197</v>
      </c>
      <c r="M10" s="357" t="s">
        <v>196</v>
      </c>
      <c r="N10" s="357"/>
    </row>
    <row r="11" spans="2:14" ht="15" thickTop="1">
      <c r="B11" s="13" t="s">
        <v>198</v>
      </c>
      <c r="C11" s="9">
        <v>47.5</v>
      </c>
      <c r="D11" s="9">
        <v>79.5</v>
      </c>
      <c r="E11" s="9">
        <v>202.3</v>
      </c>
      <c r="F11" s="9">
        <v>930</v>
      </c>
      <c r="G11" s="3"/>
      <c r="H11" s="13" t="s">
        <v>199</v>
      </c>
      <c r="I11" s="1">
        <f>C11/C$18</f>
        <v>1.3881171614362146E-2</v>
      </c>
      <c r="J11" s="1">
        <f t="shared" ref="J11:L17" si="0">D11/D$18</f>
        <v>1.67970186440267E-2</v>
      </c>
      <c r="K11" s="1">
        <f t="shared" si="0"/>
        <v>2.3321236129105586E-2</v>
      </c>
      <c r="L11" s="1">
        <f t="shared" si="0"/>
        <v>3.0142651425130128E-2</v>
      </c>
      <c r="M11" s="17" t="s">
        <v>161</v>
      </c>
      <c r="N11" s="22">
        <f t="shared" ref="N11:N17" si="1">VLOOKUP(M11,$B$2:$C$7,2,FALSE)</f>
        <v>1.0294771431332752</v>
      </c>
    </row>
    <row r="12" spans="2:14">
      <c r="B12" s="13" t="s">
        <v>200</v>
      </c>
      <c r="C12" s="9">
        <v>3037.3994386528311</v>
      </c>
      <c r="D12" s="9">
        <v>4230.9597493611991</v>
      </c>
      <c r="E12" s="9">
        <v>7531.9208756970693</v>
      </c>
      <c r="F12" s="9">
        <v>26259.274671722731</v>
      </c>
      <c r="G12" s="3"/>
      <c r="H12" s="13" t="s">
        <v>201</v>
      </c>
      <c r="I12" s="1">
        <f t="shared" ref="I12:I17" si="2">C12/C$18</f>
        <v>0.88763500777488835</v>
      </c>
      <c r="J12" s="1">
        <f t="shared" si="0"/>
        <v>0.89393094078171809</v>
      </c>
      <c r="K12" s="1">
        <f t="shared" si="0"/>
        <v>0.8682832686498817</v>
      </c>
      <c r="L12" s="1">
        <f t="shared" si="0"/>
        <v>0.85110125065213627</v>
      </c>
      <c r="M12" s="17" t="s">
        <v>153</v>
      </c>
      <c r="N12" s="22">
        <f t="shared" si="1"/>
        <v>1.2008523757707654</v>
      </c>
    </row>
    <row r="13" spans="2:14">
      <c r="B13" s="13" t="s">
        <v>202</v>
      </c>
      <c r="C13" s="9">
        <v>26.251919504441229</v>
      </c>
      <c r="D13" s="9">
        <v>54.423030786606539</v>
      </c>
      <c r="E13" s="9">
        <v>180.82643139565653</v>
      </c>
      <c r="F13" s="9">
        <v>963.21646326524137</v>
      </c>
      <c r="G13" s="3"/>
      <c r="H13" s="13" t="s">
        <v>203</v>
      </c>
      <c r="I13" s="1">
        <f t="shared" si="2"/>
        <v>7.6717347336330436E-3</v>
      </c>
      <c r="J13" s="1">
        <f t="shared" si="0"/>
        <v>1.1498675003610931E-2</v>
      </c>
      <c r="K13" s="1">
        <f t="shared" si="0"/>
        <v>2.0845753361154809E-2</v>
      </c>
      <c r="L13" s="1">
        <f t="shared" si="0"/>
        <v>3.1219245267904119E-2</v>
      </c>
      <c r="M13" s="17" t="s">
        <v>158</v>
      </c>
      <c r="N13" s="22">
        <f t="shared" si="1"/>
        <v>0.56511234148053879</v>
      </c>
    </row>
    <row r="14" spans="2:14">
      <c r="B14" s="13" t="s">
        <v>204</v>
      </c>
      <c r="C14" s="9">
        <v>243.55</v>
      </c>
      <c r="D14" s="9">
        <v>245.9</v>
      </c>
      <c r="E14" s="9">
        <v>401.25</v>
      </c>
      <c r="F14" s="9">
        <v>713.59999999999991</v>
      </c>
      <c r="G14" s="3"/>
      <c r="H14" s="13" t="s">
        <v>205</v>
      </c>
      <c r="I14" s="1">
        <f t="shared" si="2"/>
        <v>7.1173880982692644E-2</v>
      </c>
      <c r="J14" s="1">
        <f t="shared" si="0"/>
        <v>5.1954552007121575E-2</v>
      </c>
      <c r="K14" s="1">
        <f t="shared" si="0"/>
        <v>4.625628273259326E-2</v>
      </c>
      <c r="L14" s="1">
        <f t="shared" si="0"/>
        <v>2.3128812964486944E-2</v>
      </c>
      <c r="M14" s="17" t="s">
        <v>151</v>
      </c>
      <c r="N14" s="22">
        <f t="shared" si="1"/>
        <v>1.0113825191093386</v>
      </c>
    </row>
    <row r="15" spans="2:14">
      <c r="B15" s="13" t="s">
        <v>206</v>
      </c>
      <c r="C15" s="9">
        <v>33.200000000000003</v>
      </c>
      <c r="D15" s="9">
        <v>33.200000000000003</v>
      </c>
      <c r="E15" s="9">
        <v>38.200000000000003</v>
      </c>
      <c r="F15" s="9">
        <v>63.2</v>
      </c>
      <c r="G15" s="3"/>
      <c r="H15" s="13" t="s">
        <v>207</v>
      </c>
      <c r="I15" s="1">
        <f t="shared" si="2"/>
        <v>9.7022083704594378E-3</v>
      </c>
      <c r="J15" s="1">
        <f t="shared" si="0"/>
        <v>7.0146040123482576E-3</v>
      </c>
      <c r="K15" s="1">
        <f t="shared" si="0"/>
        <v>4.4037133965982873E-3</v>
      </c>
      <c r="L15" s="1">
        <f t="shared" si="0"/>
        <v>2.0484038387830368E-3</v>
      </c>
      <c r="M15" s="17" t="s">
        <v>151</v>
      </c>
      <c r="N15" s="22">
        <f t="shared" si="1"/>
        <v>1.0113825191093386</v>
      </c>
    </row>
    <row r="16" spans="2:14">
      <c r="B16" s="13" t="s">
        <v>208</v>
      </c>
      <c r="C16" s="9">
        <v>24</v>
      </c>
      <c r="D16" s="9">
        <v>74</v>
      </c>
      <c r="E16" s="9">
        <v>295</v>
      </c>
      <c r="F16" s="9">
        <v>1774</v>
      </c>
      <c r="G16" s="3"/>
      <c r="H16" s="13" t="s">
        <v>209</v>
      </c>
      <c r="I16" s="1">
        <f t="shared" si="2"/>
        <v>7.0136446051513998E-3</v>
      </c>
      <c r="J16" s="1">
        <f t="shared" si="0"/>
        <v>1.5634960750414789E-2</v>
      </c>
      <c r="K16" s="1">
        <f t="shared" si="0"/>
        <v>3.4007734345457973E-2</v>
      </c>
      <c r="L16" s="1">
        <f t="shared" si="0"/>
        <v>5.7497917879764354E-2</v>
      </c>
      <c r="M16" s="17" t="s">
        <v>161</v>
      </c>
      <c r="N16" s="22">
        <f t="shared" si="1"/>
        <v>1.0294771431332752</v>
      </c>
    </row>
    <row r="17" spans="2:14">
      <c r="B17" s="13" t="s">
        <v>210</v>
      </c>
      <c r="C17" s="9">
        <v>10</v>
      </c>
      <c r="D17" s="9">
        <v>15</v>
      </c>
      <c r="E17" s="9">
        <v>25</v>
      </c>
      <c r="F17" s="9">
        <v>150</v>
      </c>
      <c r="G17" s="3"/>
      <c r="H17" s="13" t="s">
        <v>211</v>
      </c>
      <c r="I17" s="1">
        <f t="shared" si="2"/>
        <v>2.9223519188130835E-3</v>
      </c>
      <c r="J17" s="1">
        <f t="shared" si="0"/>
        <v>3.1692488007597545E-3</v>
      </c>
      <c r="K17" s="1">
        <f t="shared" si="0"/>
        <v>2.8820113852083026E-3</v>
      </c>
      <c r="L17" s="1">
        <f t="shared" si="0"/>
        <v>4.8617179717951823E-3</v>
      </c>
      <c r="M17" s="17" t="s">
        <v>151</v>
      </c>
      <c r="N17" s="22">
        <f t="shared" si="1"/>
        <v>1.0113825191093386</v>
      </c>
    </row>
    <row r="18" spans="2:14" ht="15" thickBot="1">
      <c r="B18" s="13" t="s">
        <v>212</v>
      </c>
      <c r="C18" s="18">
        <v>3421.9013581572722</v>
      </c>
      <c r="D18" s="18">
        <v>4732.982780147805</v>
      </c>
      <c r="E18" s="18">
        <v>8674.4973070927263</v>
      </c>
      <c r="F18" s="18">
        <v>30853.291134987972</v>
      </c>
      <c r="G18" s="3"/>
      <c r="H18" s="31" t="s">
        <v>212</v>
      </c>
      <c r="I18" s="32">
        <f>SUM(I11:I17)</f>
        <v>1.0000000000000002</v>
      </c>
      <c r="J18" s="32">
        <f t="shared" ref="J18:L18" si="3">SUM(J11:J17)</f>
        <v>1.0000000000000002</v>
      </c>
      <c r="K18" s="32">
        <f t="shared" si="3"/>
        <v>1</v>
      </c>
      <c r="L18" s="32">
        <f t="shared" si="3"/>
        <v>1</v>
      </c>
      <c r="M18" s="33"/>
      <c r="N18" s="34"/>
    </row>
    <row r="19" spans="2:14" ht="15" thickTop="1">
      <c r="B19" s="3"/>
      <c r="C19" s="3"/>
      <c r="D19" s="3"/>
      <c r="E19" s="3"/>
      <c r="F19" s="3"/>
      <c r="G19" s="3"/>
      <c r="H19" s="24" t="s">
        <v>213</v>
      </c>
      <c r="I19" s="16">
        <f>SUMPRODUCT(I11:I17,$N$11:$N$17)</f>
        <v>1.176517014221353</v>
      </c>
      <c r="J19" s="16">
        <f>SUMPRODUCT(J11:J17,$N$11:$N$17)</f>
        <v>1.1762108150616026</v>
      </c>
      <c r="K19" s="16">
        <f t="shared" ref="K19:L19" si="4">SUMPRODUCT(K11:K17,$N$11:$N$17)</f>
        <v>1.1676305336730748</v>
      </c>
      <c r="L19" s="16">
        <f t="shared" si="4"/>
        <v>1.1602941560944311</v>
      </c>
      <c r="M19" s="17"/>
      <c r="N19" s="17"/>
    </row>
    <row r="20" spans="2:14">
      <c r="B20" s="14" t="s">
        <v>214</v>
      </c>
      <c r="C20" s="252">
        <v>590.20973488390212</v>
      </c>
      <c r="D20" s="252">
        <v>1770.6292046517065</v>
      </c>
      <c r="E20" s="252">
        <v>7082.5168186068258</v>
      </c>
      <c r="F20" s="252">
        <v>42495.100911640955</v>
      </c>
      <c r="G20" s="3"/>
      <c r="H20" s="3"/>
      <c r="I20" s="3"/>
      <c r="J20" s="3"/>
      <c r="K20" s="3"/>
      <c r="L20" s="3"/>
      <c r="M20" s="3"/>
      <c r="N20" s="3"/>
    </row>
    <row r="21" spans="2:14" ht="15" thickBot="1">
      <c r="B21" s="14" t="s">
        <v>215</v>
      </c>
      <c r="C21" s="252">
        <v>3421.9013581572722</v>
      </c>
      <c r="D21" s="252">
        <v>4732.9827801478068</v>
      </c>
      <c r="E21" s="252">
        <v>8674.4973070927263</v>
      </c>
      <c r="F21" s="252">
        <v>30853.291134987969</v>
      </c>
      <c r="G21" s="3"/>
      <c r="H21" s="3"/>
      <c r="I21" s="3"/>
      <c r="J21" s="3"/>
      <c r="K21" s="3"/>
      <c r="L21" s="3"/>
      <c r="M21" s="3"/>
      <c r="N21" s="3"/>
    </row>
    <row r="22" spans="2:14" ht="15" thickBot="1">
      <c r="B22" s="15" t="s">
        <v>216</v>
      </c>
      <c r="C22" s="253">
        <v>5797.7718019686363</v>
      </c>
      <c r="D22" s="253">
        <v>2673.0513467831415</v>
      </c>
      <c r="E22" s="253">
        <v>1224.7760971500315</v>
      </c>
      <c r="F22" s="253">
        <v>726.04348438048135</v>
      </c>
      <c r="G22" s="3"/>
      <c r="H22" s="3"/>
      <c r="I22" s="3"/>
      <c r="J22" s="3"/>
      <c r="K22" s="3"/>
      <c r="L22" s="3"/>
      <c r="M22" s="3"/>
      <c r="N22" s="3"/>
    </row>
    <row r="23" spans="2:14" ht="15" thickTop="1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4" ht="16.149999999999999" thickBot="1">
      <c r="B24" s="5" t="s">
        <v>56</v>
      </c>
      <c r="C24" s="12" t="s">
        <v>36</v>
      </c>
      <c r="D24" s="12" t="s">
        <v>37</v>
      </c>
      <c r="E24" s="12" t="s">
        <v>38</v>
      </c>
      <c r="F24" s="12" t="s">
        <v>197</v>
      </c>
      <c r="G24" s="3"/>
      <c r="H24" s="5" t="s">
        <v>56</v>
      </c>
      <c r="I24" s="277" t="s">
        <v>36</v>
      </c>
      <c r="J24" s="277" t="s">
        <v>37</v>
      </c>
      <c r="K24" s="277" t="s">
        <v>38</v>
      </c>
      <c r="L24" s="277" t="s">
        <v>197</v>
      </c>
      <c r="M24" s="356" t="s">
        <v>196</v>
      </c>
      <c r="N24" s="356"/>
    </row>
    <row r="25" spans="2:14" ht="15" thickTop="1">
      <c r="B25" s="13" t="s">
        <v>198</v>
      </c>
      <c r="C25" s="2">
        <v>10.611906616438356</v>
      </c>
      <c r="D25" s="2">
        <v>18.775649356164383</v>
      </c>
      <c r="E25" s="2">
        <v>48.777085054794526</v>
      </c>
      <c r="F25" s="2">
        <v>151.86116672602739</v>
      </c>
      <c r="G25" s="3"/>
      <c r="H25" s="13" t="s">
        <v>199</v>
      </c>
      <c r="I25" s="1">
        <f>C25/C$32</f>
        <v>2.3867755282922794E-2</v>
      </c>
      <c r="J25" s="1">
        <f t="shared" ref="J25:L31" si="5">D25/D$32</f>
        <v>3.2392750593088986E-2</v>
      </c>
      <c r="K25" s="1">
        <f t="shared" si="5"/>
        <v>3.8061467757615562E-2</v>
      </c>
      <c r="L25" s="1">
        <f t="shared" si="5"/>
        <v>2.6289873736240071E-2</v>
      </c>
      <c r="M25" s="17" t="s">
        <v>161</v>
      </c>
      <c r="N25" s="23">
        <f t="shared" ref="N25:N31" si="6">VLOOKUP(M25,$B$2:$C$7,2,FALSE)</f>
        <v>1.0294771431332752</v>
      </c>
    </row>
    <row r="26" spans="2:14">
      <c r="B26" s="13" t="s">
        <v>200</v>
      </c>
      <c r="C26" s="2">
        <v>274.30740668014516</v>
      </c>
      <c r="D26" s="2">
        <v>340.86857448412707</v>
      </c>
      <c r="E26" s="2">
        <v>747.81473551260638</v>
      </c>
      <c r="F26" s="2">
        <v>3404.6758829905757</v>
      </c>
      <c r="G26" s="3"/>
      <c r="H26" s="13" t="s">
        <v>201</v>
      </c>
      <c r="I26" s="1">
        <f t="shared" ref="I26:I31" si="7">C26/C$32</f>
        <v>0.61695812935190253</v>
      </c>
      <c r="J26" s="1">
        <f t="shared" si="5"/>
        <v>0.58808462540130069</v>
      </c>
      <c r="K26" s="1">
        <f t="shared" si="5"/>
        <v>0.5835306970969788</v>
      </c>
      <c r="L26" s="1">
        <f t="shared" si="5"/>
        <v>0.58941005792564549</v>
      </c>
      <c r="M26" s="17" t="s">
        <v>154</v>
      </c>
      <c r="N26" s="23">
        <f t="shared" si="6"/>
        <v>1.0374876979511496</v>
      </c>
    </row>
    <row r="27" spans="2:14">
      <c r="B27" s="13" t="s">
        <v>202</v>
      </c>
      <c r="C27" s="2">
        <v>14.031215268131213</v>
      </c>
      <c r="D27" s="2">
        <v>23.30207359422101</v>
      </c>
      <c r="E27" s="2">
        <v>69.771292672805714</v>
      </c>
      <c r="F27" s="2">
        <v>351.13153007729034</v>
      </c>
      <c r="G27" s="3"/>
      <c r="H27" s="13" t="s">
        <v>203</v>
      </c>
      <c r="I27" s="1">
        <f t="shared" si="7"/>
        <v>3.1558288670105648E-2</v>
      </c>
      <c r="J27" s="1">
        <f t="shared" si="5"/>
        <v>4.0201978846158275E-2</v>
      </c>
      <c r="K27" s="1">
        <f t="shared" si="5"/>
        <v>5.4443552817679548E-2</v>
      </c>
      <c r="L27" s="1">
        <f t="shared" si="5"/>
        <v>6.0787124118430833E-2</v>
      </c>
      <c r="M27" s="17" t="s">
        <v>158</v>
      </c>
      <c r="N27" s="23">
        <f t="shared" si="6"/>
        <v>0.56511234148053879</v>
      </c>
    </row>
    <row r="28" spans="2:14">
      <c r="B28" s="13" t="s">
        <v>204</v>
      </c>
      <c r="C28" s="2">
        <v>117.27415036748032</v>
      </c>
      <c r="D28" s="2">
        <v>120.83274250174354</v>
      </c>
      <c r="E28" s="2">
        <v>131.60241310592804</v>
      </c>
      <c r="F28" s="2">
        <v>165.95935583347594</v>
      </c>
      <c r="G28" s="3"/>
      <c r="H28" s="13" t="s">
        <v>205</v>
      </c>
      <c r="I28" s="1">
        <f t="shared" si="7"/>
        <v>0.26376699523983888</v>
      </c>
      <c r="J28" s="1">
        <f t="shared" si="5"/>
        <v>0.20846708505731923</v>
      </c>
      <c r="K28" s="1">
        <f t="shared" si="5"/>
        <v>0.10269127393793138</v>
      </c>
      <c r="L28" s="1">
        <f t="shared" si="5"/>
        <v>2.8730521464260809E-2</v>
      </c>
      <c r="M28" s="17" t="s">
        <v>151</v>
      </c>
      <c r="N28" s="23">
        <f t="shared" si="6"/>
        <v>1.0113825191093386</v>
      </c>
    </row>
    <row r="29" spans="2:14">
      <c r="B29" s="13" t="s">
        <v>206</v>
      </c>
      <c r="C29" s="2">
        <v>0</v>
      </c>
      <c r="D29" s="2">
        <v>0</v>
      </c>
      <c r="E29" s="2">
        <v>0</v>
      </c>
      <c r="F29" s="2">
        <v>0</v>
      </c>
      <c r="G29" s="3"/>
      <c r="H29" s="13" t="s">
        <v>207</v>
      </c>
      <c r="I29" s="1">
        <v>0</v>
      </c>
      <c r="J29" s="1"/>
      <c r="K29" s="1"/>
      <c r="L29" s="1"/>
      <c r="M29" s="17" t="s">
        <v>151</v>
      </c>
      <c r="N29" s="23">
        <f t="shared" si="6"/>
        <v>1.0113825191093386</v>
      </c>
    </row>
    <row r="30" spans="2:14">
      <c r="B30" s="13" t="s">
        <v>208</v>
      </c>
      <c r="C30" s="2">
        <v>9.61</v>
      </c>
      <c r="D30" s="2">
        <v>16.631</v>
      </c>
      <c r="E30" s="2">
        <v>43.31</v>
      </c>
      <c r="F30" s="2">
        <v>274.83</v>
      </c>
      <c r="G30" s="3"/>
      <c r="H30" s="13" t="s">
        <v>209</v>
      </c>
      <c r="I30" s="1">
        <f t="shared" si="7"/>
        <v>2.1614318383991825E-2</v>
      </c>
      <c r="J30" s="1">
        <f t="shared" si="5"/>
        <v>2.8692687261801159E-2</v>
      </c>
      <c r="K30" s="1">
        <f t="shared" si="5"/>
        <v>3.3795421902119115E-2</v>
      </c>
      <c r="L30" s="1">
        <f t="shared" si="5"/>
        <v>4.7577969764751767E-2</v>
      </c>
      <c r="M30" s="17" t="s">
        <v>161</v>
      </c>
      <c r="N30" s="23">
        <f t="shared" si="6"/>
        <v>1.0294771431332752</v>
      </c>
    </row>
    <row r="31" spans="2:14">
      <c r="B31" s="13" t="s">
        <v>210</v>
      </c>
      <c r="C31" s="2">
        <v>18.778000000000002</v>
      </c>
      <c r="D31" s="2">
        <v>59.215000000000003</v>
      </c>
      <c r="E31" s="2">
        <v>240.25900000000001</v>
      </c>
      <c r="F31" s="2">
        <v>1427.9549999999999</v>
      </c>
      <c r="G31" s="3"/>
      <c r="H31" s="13" t="s">
        <v>211</v>
      </c>
      <c r="I31" s="1">
        <f t="shared" si="7"/>
        <v>4.2234513071238142E-2</v>
      </c>
      <c r="J31" s="1">
        <f t="shared" si="5"/>
        <v>0.10216087284033165</v>
      </c>
      <c r="K31" s="1">
        <f t="shared" si="5"/>
        <v>0.18747758648767576</v>
      </c>
      <c r="L31" s="1">
        <f t="shared" si="5"/>
        <v>0.24720445299067098</v>
      </c>
      <c r="M31" s="17" t="s">
        <v>151</v>
      </c>
      <c r="N31" s="23">
        <f t="shared" si="6"/>
        <v>1.0113825191093386</v>
      </c>
    </row>
    <row r="32" spans="2:14" ht="15" thickBot="1">
      <c r="B32" s="13" t="s">
        <v>212</v>
      </c>
      <c r="C32" s="19">
        <v>444.61267893219514</v>
      </c>
      <c r="D32" s="19">
        <v>579.62503993625603</v>
      </c>
      <c r="E32" s="19">
        <v>1281.5345263461345</v>
      </c>
      <c r="F32" s="19">
        <v>5776.4129356273697</v>
      </c>
      <c r="G32" s="3"/>
      <c r="H32" s="31" t="s">
        <v>212</v>
      </c>
      <c r="I32" s="32">
        <f>SUM(I25:I31)</f>
        <v>0.99999999999999989</v>
      </c>
      <c r="J32" s="32">
        <f t="shared" ref="J32:L32" si="8">SUM(J25:J31)</f>
        <v>1</v>
      </c>
      <c r="K32" s="32">
        <f t="shared" si="8"/>
        <v>1.0000000000000002</v>
      </c>
      <c r="L32" s="32">
        <f t="shared" si="8"/>
        <v>0.99999999999999989</v>
      </c>
      <c r="M32" s="33"/>
      <c r="N32" s="35"/>
    </row>
    <row r="33" spans="2:30" ht="15" thickTop="1">
      <c r="B33" s="3"/>
      <c r="C33" s="3"/>
      <c r="D33" s="3"/>
      <c r="E33" s="3"/>
      <c r="F33" s="3"/>
      <c r="G33" s="3"/>
      <c r="H33" s="24" t="s">
        <v>213</v>
      </c>
      <c r="I33" s="16">
        <f>SUMPRODUCT(I25:I31,$N$25:$N$31)</f>
        <v>1.0142277793463417</v>
      </c>
      <c r="J33" s="16">
        <f t="shared" ref="J33:L33" si="9">SUMPRODUCT(J25:J31,$N$25:$N$31)</f>
        <v>1.0098989472201763</v>
      </c>
      <c r="K33" s="16">
        <f t="shared" si="9"/>
        <v>1.0036193817319756</v>
      </c>
      <c r="L33" s="16">
        <f t="shared" si="9"/>
        <v>1.0009783042603833</v>
      </c>
      <c r="M33" s="17"/>
      <c r="N33" s="21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2:30">
      <c r="B34" s="14" t="s">
        <v>214</v>
      </c>
      <c r="C34" s="252">
        <v>124.15220190426912</v>
      </c>
      <c r="D34" s="252">
        <v>372.45660571280723</v>
      </c>
      <c r="E34" s="252">
        <v>1489.8264228512289</v>
      </c>
      <c r="F34" s="252">
        <v>8938.9585371073772</v>
      </c>
      <c r="G34" s="3"/>
      <c r="H34" s="3"/>
      <c r="I34" s="10"/>
      <c r="J34" s="10"/>
      <c r="K34" s="10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2:30" ht="15" thickBot="1">
      <c r="B35" s="14" t="s">
        <v>215</v>
      </c>
      <c r="C35" s="252">
        <v>444.61267893219508</v>
      </c>
      <c r="D35" s="252">
        <v>579.62503993625592</v>
      </c>
      <c r="E35" s="252">
        <v>1281.534526346135</v>
      </c>
      <c r="F35" s="252">
        <v>5776.4129356273688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2:30" ht="15" thickBot="1">
      <c r="B36" s="15" t="s">
        <v>217</v>
      </c>
      <c r="C36" s="253">
        <v>3581.1904429614997</v>
      </c>
      <c r="D36" s="253">
        <v>1556.221667291871</v>
      </c>
      <c r="E36" s="253">
        <v>860.19049379828743</v>
      </c>
      <c r="F36" s="253">
        <v>646.20648050310797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2:30" ht="15" thickTop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2:30" ht="16.149999999999999" thickBot="1">
      <c r="B38" s="5" t="s">
        <v>57</v>
      </c>
      <c r="C38" s="12" t="s">
        <v>36</v>
      </c>
      <c r="D38" s="12" t="s">
        <v>37</v>
      </c>
      <c r="E38" s="12" t="s">
        <v>38</v>
      </c>
      <c r="F38" s="12" t="s">
        <v>197</v>
      </c>
      <c r="G38" s="3"/>
      <c r="H38" s="5" t="s">
        <v>57</v>
      </c>
      <c r="I38" s="277" t="s">
        <v>36</v>
      </c>
      <c r="J38" s="277" t="s">
        <v>37</v>
      </c>
      <c r="K38" s="277" t="s">
        <v>38</v>
      </c>
      <c r="L38" s="277" t="s">
        <v>197</v>
      </c>
      <c r="M38" s="356" t="s">
        <v>196</v>
      </c>
      <c r="N38" s="35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2:30" ht="15" thickTop="1">
      <c r="B39" s="13" t="s">
        <v>198</v>
      </c>
      <c r="C39" s="2">
        <v>0</v>
      </c>
      <c r="D39" s="2">
        <v>0</v>
      </c>
      <c r="E39" s="2">
        <v>3</v>
      </c>
      <c r="F39" s="2">
        <v>3</v>
      </c>
      <c r="G39" s="3"/>
      <c r="H39" s="13" t="s">
        <v>199</v>
      </c>
      <c r="I39" s="1">
        <f>C39/C$46</f>
        <v>0</v>
      </c>
      <c r="J39" s="1">
        <f t="shared" ref="J39:J45" si="10">D39/D$46</f>
        <v>0</v>
      </c>
      <c r="K39" s="1">
        <f>E39/E$46</f>
        <v>8.3046892980942033E-4</v>
      </c>
      <c r="L39" s="1">
        <f>F39/F$46</f>
        <v>3.031128959507928E-4</v>
      </c>
      <c r="M39" s="17" t="s">
        <v>161</v>
      </c>
      <c r="N39" s="23">
        <f t="shared" ref="N39:N45" si="11">VLOOKUP(M39,$B$2:$C$7,2,FALSE)</f>
        <v>1.0294771431332752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2:30">
      <c r="B40" s="13" t="s">
        <v>200</v>
      </c>
      <c r="C40" s="2">
        <v>157.99773865622183</v>
      </c>
      <c r="D40" s="2">
        <v>461.22006062126314</v>
      </c>
      <c r="E40" s="2">
        <v>1736.7936534880685</v>
      </c>
      <c r="F40" s="2">
        <v>4630.8531441841669</v>
      </c>
      <c r="G40" s="3"/>
      <c r="H40" s="13" t="s">
        <v>201</v>
      </c>
      <c r="I40" s="1">
        <f>C40/C$46</f>
        <v>0.49762788671962332</v>
      </c>
      <c r="J40" s="1">
        <f t="shared" si="10"/>
        <v>0.48884563928584845</v>
      </c>
      <c r="K40" s="1">
        <f t="shared" ref="K40:K45" si="12">E40/E$46</f>
        <v>0.48078438890400982</v>
      </c>
      <c r="L40" s="1">
        <f t="shared" ref="L40:L45" si="13">F40/F$46</f>
        <v>0.46789043575216571</v>
      </c>
      <c r="M40" s="17" t="s">
        <v>151</v>
      </c>
      <c r="N40" s="23">
        <f t="shared" si="11"/>
        <v>1.0113825191093386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2:30">
      <c r="B41" s="13" t="s">
        <v>202</v>
      </c>
      <c r="C41" s="2">
        <v>2.1867766726003688</v>
      </c>
      <c r="D41" s="2">
        <v>5.9213640142408854</v>
      </c>
      <c r="E41" s="2">
        <v>22.99726414341507</v>
      </c>
      <c r="F41" s="2">
        <v>132.84821377410432</v>
      </c>
      <c r="G41" s="3"/>
      <c r="H41" s="13" t="s">
        <v>203</v>
      </c>
      <c r="I41" s="1">
        <f t="shared" ref="I41:I44" si="14">C41/C$46</f>
        <v>6.8874470202491007E-3</v>
      </c>
      <c r="J41" s="1">
        <f t="shared" si="10"/>
        <v>6.2760344228885764E-3</v>
      </c>
      <c r="K41" s="1">
        <f t="shared" si="12"/>
        <v>6.3661711139088228E-3</v>
      </c>
      <c r="L41" s="1">
        <f t="shared" si="13"/>
        <v>1.3422668932986255E-2</v>
      </c>
      <c r="M41" s="17" t="s">
        <v>158</v>
      </c>
      <c r="N41" s="23">
        <f t="shared" si="11"/>
        <v>0.56511234148053879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2:30">
      <c r="B42" s="13" t="s">
        <v>204</v>
      </c>
      <c r="C42" s="2">
        <v>0</v>
      </c>
      <c r="D42" s="2">
        <v>0</v>
      </c>
      <c r="E42" s="2">
        <v>1.5</v>
      </c>
      <c r="F42" s="2">
        <v>3.5</v>
      </c>
      <c r="G42" s="3"/>
      <c r="H42" s="13" t="s">
        <v>205</v>
      </c>
      <c r="I42" s="1">
        <f>C42/C$46</f>
        <v>0</v>
      </c>
      <c r="J42" s="1">
        <f>D42/D$46</f>
        <v>0</v>
      </c>
      <c r="K42" s="1">
        <f t="shared" si="12"/>
        <v>4.1523446490471016E-4</v>
      </c>
      <c r="L42" s="263">
        <f t="shared" si="13"/>
        <v>3.5363171194259161E-4</v>
      </c>
      <c r="M42" s="17" t="s">
        <v>151</v>
      </c>
      <c r="N42" s="23">
        <f t="shared" si="11"/>
        <v>1.0113825191093386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2:30">
      <c r="B43" s="13" t="s">
        <v>206</v>
      </c>
      <c r="C43" s="2">
        <v>0</v>
      </c>
      <c r="D43" s="2">
        <v>0</v>
      </c>
      <c r="E43" s="2">
        <v>0</v>
      </c>
      <c r="F43" s="2">
        <v>0</v>
      </c>
      <c r="G43" s="3"/>
      <c r="H43" s="13" t="s">
        <v>206</v>
      </c>
      <c r="I43" s="1">
        <f>C43/C$46</f>
        <v>0</v>
      </c>
      <c r="J43" s="1">
        <f t="shared" si="10"/>
        <v>0</v>
      </c>
      <c r="K43" s="1">
        <f t="shared" si="12"/>
        <v>0</v>
      </c>
      <c r="L43" s="1">
        <f t="shared" si="13"/>
        <v>0</v>
      </c>
      <c r="M43" s="17" t="s">
        <v>151</v>
      </c>
      <c r="N43" s="23">
        <f t="shared" si="11"/>
        <v>1.0113825191093386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0">
      <c r="B44" s="13" t="s">
        <v>208</v>
      </c>
      <c r="C44" s="2">
        <v>157.31726235037348</v>
      </c>
      <c r="D44" s="2">
        <v>476.34671058660132</v>
      </c>
      <c r="E44" s="2">
        <v>1848.1259860189075</v>
      </c>
      <c r="F44" s="2">
        <v>5127.1010665714284</v>
      </c>
      <c r="G44" s="3"/>
      <c r="H44" s="13" t="s">
        <v>208</v>
      </c>
      <c r="I44" s="1">
        <f t="shared" si="14"/>
        <v>0.49548466626012749</v>
      </c>
      <c r="J44" s="1">
        <f t="shared" si="10"/>
        <v>0.50487832629126295</v>
      </c>
      <c r="K44" s="1">
        <f t="shared" si="12"/>
        <v>0.51160373658736724</v>
      </c>
      <c r="L44" s="1">
        <f t="shared" si="13"/>
        <v>0.5180301507069548</v>
      </c>
      <c r="M44" s="17" t="s">
        <v>161</v>
      </c>
      <c r="N44" s="23">
        <f t="shared" si="11"/>
        <v>1.0294771431332752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0">
      <c r="B45" s="13" t="s">
        <v>210</v>
      </c>
      <c r="C45" s="2">
        <v>0</v>
      </c>
      <c r="D45" s="2">
        <v>0</v>
      </c>
      <c r="E45" s="2">
        <v>0</v>
      </c>
      <c r="F45" s="2">
        <v>0</v>
      </c>
      <c r="G45" s="3"/>
      <c r="H45" s="13" t="s">
        <v>210</v>
      </c>
      <c r="I45" s="1">
        <f>C45/C$46</f>
        <v>0</v>
      </c>
      <c r="J45" s="1">
        <f t="shared" si="10"/>
        <v>0</v>
      </c>
      <c r="K45" s="1">
        <f t="shared" si="12"/>
        <v>0</v>
      </c>
      <c r="L45" s="1">
        <f t="shared" si="13"/>
        <v>0</v>
      </c>
      <c r="M45" s="17" t="s">
        <v>151</v>
      </c>
      <c r="N45" s="23">
        <f t="shared" si="11"/>
        <v>1.0113825191093386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2:30" ht="15" thickBot="1">
      <c r="B46" s="13" t="s">
        <v>212</v>
      </c>
      <c r="C46" s="19">
        <v>317.5017776791957</v>
      </c>
      <c r="D46" s="19">
        <v>943.48813522210537</v>
      </c>
      <c r="E46" s="19">
        <v>3612.4169036503909</v>
      </c>
      <c r="F46" s="19">
        <v>9897.3024245296983</v>
      </c>
      <c r="G46" s="3"/>
      <c r="H46" s="31" t="s">
        <v>212</v>
      </c>
      <c r="I46" s="32">
        <f>SUM(I39:I45)</f>
        <v>1</v>
      </c>
      <c r="J46" s="32">
        <f t="shared" ref="J46:L46" si="15">SUM(J39:J45)</f>
        <v>1</v>
      </c>
      <c r="K46" s="32">
        <f>SUM(K39:K45)</f>
        <v>1</v>
      </c>
      <c r="L46" s="71">
        <f t="shared" si="15"/>
        <v>1.0000000000000002</v>
      </c>
      <c r="M46" s="33"/>
      <c r="N46" s="3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2:30" ht="15" thickTop="1">
      <c r="B47" s="3"/>
      <c r="C47" s="3"/>
      <c r="D47" s="3"/>
      <c r="E47" s="3"/>
      <c r="F47" s="3"/>
      <c r="G47" s="3"/>
      <c r="H47" s="24" t="s">
        <v>213</v>
      </c>
      <c r="I47" s="16">
        <f>SUMPRODUCT(I39:I45,$N$39:$N$45)</f>
        <v>1.0172744656498058</v>
      </c>
      <c r="J47" s="16">
        <f t="shared" ref="J47:K47" si="16">SUMPRODUCT(J39:J45,$N$39:$N$45)</f>
        <v>1.0177172956047065</v>
      </c>
      <c r="K47" s="16">
        <f t="shared" si="16"/>
        <v>1.0178137910813572</v>
      </c>
      <c r="L47" s="16">
        <f>SUMPRODUCT(L39:L45,$N$39:$N$45)</f>
        <v>1.0147714277843569</v>
      </c>
      <c r="M47" s="17"/>
      <c r="N47" s="1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2:30">
      <c r="B48" s="14" t="s">
        <v>214</v>
      </c>
      <c r="C48" s="2">
        <v>40.634229390681007</v>
      </c>
      <c r="D48" s="2">
        <v>121.90268817204301</v>
      </c>
      <c r="E48" s="2">
        <v>487.61075268817206</v>
      </c>
      <c r="F48" s="2">
        <v>2925.6645161290326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2:30" ht="15" thickBot="1">
      <c r="B49" s="14" t="s">
        <v>215</v>
      </c>
      <c r="C49" s="252">
        <v>317.5017776791957</v>
      </c>
      <c r="D49" s="252">
        <v>943.48813522210537</v>
      </c>
      <c r="E49" s="252">
        <v>3612.4169036503913</v>
      </c>
      <c r="F49" s="252">
        <v>9897.3024245297001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2:30" ht="15" thickBot="1">
      <c r="B50" s="15" t="s">
        <v>217</v>
      </c>
      <c r="C50" s="254">
        <v>7813.6532288221779</v>
      </c>
      <c r="D50" s="254">
        <v>7739.6827696740129</v>
      </c>
      <c r="E50" s="254">
        <v>7408.402878187836</v>
      </c>
      <c r="F50" s="254">
        <v>3382.9245868644198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2:30" ht="15" thickTop="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2:30" ht="15" thickBot="1">
      <c r="B52" s="3"/>
      <c r="C52" s="326" t="s">
        <v>40</v>
      </c>
      <c r="D52" s="327"/>
      <c r="E52" s="327"/>
      <c r="F52" s="328"/>
      <c r="G52" s="326" t="s">
        <v>41</v>
      </c>
      <c r="H52" s="327"/>
      <c r="I52" s="327"/>
      <c r="J52" s="328"/>
      <c r="K52" s="326" t="s">
        <v>42</v>
      </c>
      <c r="L52" s="327"/>
      <c r="M52" s="327"/>
      <c r="N52" s="328"/>
      <c r="O52" s="3"/>
      <c r="P52" s="3"/>
      <c r="Q52" s="326" t="s">
        <v>40</v>
      </c>
      <c r="R52" s="327"/>
      <c r="S52" s="327"/>
      <c r="T52" s="328"/>
      <c r="U52" s="326" t="s">
        <v>41</v>
      </c>
      <c r="V52" s="327"/>
      <c r="W52" s="327"/>
      <c r="X52" s="328"/>
      <c r="Y52" s="326" t="s">
        <v>42</v>
      </c>
      <c r="Z52" s="327"/>
      <c r="AA52" s="327"/>
      <c r="AB52" s="328"/>
      <c r="AC52" s="353" t="s">
        <v>196</v>
      </c>
      <c r="AD52" s="354"/>
    </row>
    <row r="53" spans="2:30" ht="16.149999999999999" thickBot="1">
      <c r="B53" s="5" t="s">
        <v>55</v>
      </c>
      <c r="C53" s="28">
        <v>0.05</v>
      </c>
      <c r="D53" s="26">
        <v>0.1</v>
      </c>
      <c r="E53" s="26">
        <v>0.2</v>
      </c>
      <c r="F53" s="29">
        <v>0.3</v>
      </c>
      <c r="G53" s="28">
        <v>0.05</v>
      </c>
      <c r="H53" s="26">
        <v>0.1</v>
      </c>
      <c r="I53" s="26">
        <v>0.2</v>
      </c>
      <c r="J53" s="29">
        <v>0.3</v>
      </c>
      <c r="K53" s="28">
        <v>0.05</v>
      </c>
      <c r="L53" s="26">
        <v>0.1</v>
      </c>
      <c r="M53" s="26">
        <v>0.2</v>
      </c>
      <c r="N53" s="29">
        <v>0.3</v>
      </c>
      <c r="O53" s="3"/>
      <c r="P53" s="5" t="s">
        <v>55</v>
      </c>
      <c r="Q53" s="36">
        <v>0.05</v>
      </c>
      <c r="R53" s="37">
        <v>0.1</v>
      </c>
      <c r="S53" s="37">
        <v>0.2</v>
      </c>
      <c r="T53" s="38">
        <v>0.3</v>
      </c>
      <c r="U53" s="36">
        <v>0.05</v>
      </c>
      <c r="V53" s="37">
        <v>0.1</v>
      </c>
      <c r="W53" s="37">
        <v>0.2</v>
      </c>
      <c r="X53" s="38">
        <v>0.3</v>
      </c>
      <c r="Y53" s="36">
        <v>0.05</v>
      </c>
      <c r="Z53" s="37">
        <v>0.1</v>
      </c>
      <c r="AA53" s="37">
        <v>0.2</v>
      </c>
      <c r="AB53" s="38">
        <v>0.3</v>
      </c>
      <c r="AC53" s="355"/>
      <c r="AD53" s="356"/>
    </row>
    <row r="54" spans="2:30" ht="15" thickTop="1">
      <c r="B54" s="13" t="s">
        <v>218</v>
      </c>
      <c r="C54" s="81">
        <v>37</v>
      </c>
      <c r="D54" s="82">
        <v>37</v>
      </c>
      <c r="E54" s="82">
        <v>37</v>
      </c>
      <c r="F54" s="83">
        <v>37</v>
      </c>
      <c r="G54" s="81">
        <v>73.94</v>
      </c>
      <c r="H54" s="82">
        <v>73.94</v>
      </c>
      <c r="I54" s="82">
        <v>73.94</v>
      </c>
      <c r="J54" s="83">
        <v>73.94</v>
      </c>
      <c r="K54" s="81">
        <v>369.8</v>
      </c>
      <c r="L54" s="82">
        <v>369.8</v>
      </c>
      <c r="M54" s="82">
        <v>369.8</v>
      </c>
      <c r="N54" s="83">
        <v>369.8</v>
      </c>
      <c r="O54" s="3"/>
      <c r="P54" s="13" t="s">
        <v>219</v>
      </c>
      <c r="Q54" s="30">
        <f>C54/C$61</f>
        <v>1.567162999321839E-3</v>
      </c>
      <c r="R54" s="30">
        <f t="shared" ref="R54:AB60" si="17">D54/D$61</f>
        <v>7.7072003535728559E-4</v>
      </c>
      <c r="S54" s="30">
        <f t="shared" si="17"/>
        <v>3.6448178597137956E-4</v>
      </c>
      <c r="T54" s="30">
        <f t="shared" si="17"/>
        <v>2.4961407012971269E-4</v>
      </c>
      <c r="U54" s="30">
        <f t="shared" si="17"/>
        <v>1.6754253336845066E-3</v>
      </c>
      <c r="V54" s="30">
        <f t="shared" si="17"/>
        <v>8.3278908939254492E-4</v>
      </c>
      <c r="W54" s="30">
        <f t="shared" si="17"/>
        <v>4.1004453633763813E-4</v>
      </c>
      <c r="X54" s="30">
        <f t="shared" si="17"/>
        <v>2.7245382224989922E-4</v>
      </c>
      <c r="Y54" s="30">
        <f t="shared" si="17"/>
        <v>1.7784161896548573E-3</v>
      </c>
      <c r="Z54" s="30">
        <f t="shared" si="17"/>
        <v>8.842507155271402E-4</v>
      </c>
      <c r="AA54" s="30">
        <f t="shared" si="17"/>
        <v>4.3927304738918346E-4</v>
      </c>
      <c r="AB54" s="30">
        <f t="shared" si="17"/>
        <v>2.9299620852297586E-4</v>
      </c>
      <c r="AC54" s="17" t="s">
        <v>151</v>
      </c>
      <c r="AD54" s="20">
        <f>VLOOKUP(AC54,$B$2:$C$7,2,FALSE)</f>
        <v>1.0113825191093386</v>
      </c>
    </row>
    <row r="55" spans="2:30">
      <c r="B55" s="13" t="s">
        <v>220</v>
      </c>
      <c r="C55" s="81">
        <v>1804.6196536702546</v>
      </c>
      <c r="D55" s="82">
        <v>2921.3376581107741</v>
      </c>
      <c r="E55" s="82">
        <v>3914.6554359502147</v>
      </c>
      <c r="F55" s="83">
        <v>4802.4229573912544</v>
      </c>
      <c r="G55" s="81">
        <v>3596.0641315405087</v>
      </c>
      <c r="H55" s="82">
        <v>5827.4601402215485</v>
      </c>
      <c r="I55" s="82">
        <v>7508.7321029004288</v>
      </c>
      <c r="J55" s="83">
        <v>9284.267145782509</v>
      </c>
      <c r="K55" s="81">
        <v>17919.819952702543</v>
      </c>
      <c r="L55" s="82">
        <v>29086.999997107745</v>
      </c>
      <c r="M55" s="82">
        <v>37075.541845502143</v>
      </c>
      <c r="N55" s="83">
        <v>44950.217059912546</v>
      </c>
      <c r="O55" s="3"/>
      <c r="P55" s="13" t="s">
        <v>221</v>
      </c>
      <c r="Q55" s="30">
        <f t="shared" ref="Q55:Q60" si="18">C55/C$61</f>
        <v>7.6436031056243636E-2</v>
      </c>
      <c r="R55" s="30">
        <f t="shared" si="17"/>
        <v>6.0852255760802859E-2</v>
      </c>
      <c r="S55" s="30">
        <f t="shared" si="17"/>
        <v>3.8562719047505502E-2</v>
      </c>
      <c r="T55" s="30">
        <f t="shared" si="17"/>
        <v>3.2398711915643322E-2</v>
      </c>
      <c r="U55" s="30">
        <f t="shared" si="17"/>
        <v>8.1484135076239417E-2</v>
      </c>
      <c r="V55" s="30">
        <f t="shared" si="17"/>
        <v>6.563490970579465E-2</v>
      </c>
      <c r="W55" s="30">
        <f t="shared" si="17"/>
        <v>4.1640716440591627E-2</v>
      </c>
      <c r="X55" s="30">
        <f t="shared" si="17"/>
        <v>3.4210631196343072E-2</v>
      </c>
      <c r="Y55" s="30">
        <f t="shared" si="17"/>
        <v>8.6178739641931693E-2</v>
      </c>
      <c r="Z55" s="30">
        <f t="shared" si="17"/>
        <v>6.9551651054571242E-2</v>
      </c>
      <c r="AA55" s="30">
        <f t="shared" si="17"/>
        <v>4.4040795700591988E-2</v>
      </c>
      <c r="AB55" s="30">
        <f t="shared" si="17"/>
        <v>3.561450289572516E-2</v>
      </c>
      <c r="AC55" s="17" t="s">
        <v>158</v>
      </c>
      <c r="AD55" s="20">
        <f>VLOOKUP(AC55,$B$2:$C$7,2,FALSE)</f>
        <v>0.56511234148053879</v>
      </c>
    </row>
    <row r="56" spans="2:30">
      <c r="B56" s="13" t="s">
        <v>222</v>
      </c>
      <c r="C56" s="81">
        <v>3556.6</v>
      </c>
      <c r="D56" s="82">
        <v>8135.40960778304</v>
      </c>
      <c r="E56" s="82">
        <v>23733.192345987412</v>
      </c>
      <c r="F56" s="83">
        <v>32389.564091840191</v>
      </c>
      <c r="G56" s="81">
        <v>4569</v>
      </c>
      <c r="H56" s="82">
        <v>11101.994141931835</v>
      </c>
      <c r="I56" s="82">
        <v>29146.359714556333</v>
      </c>
      <c r="J56" s="83">
        <v>46011.851033227635</v>
      </c>
      <c r="K56" s="81">
        <v>13095.724482600001</v>
      </c>
      <c r="L56" s="82">
        <v>35642.755586322179</v>
      </c>
      <c r="M56" s="82">
        <v>98360.408775507705</v>
      </c>
      <c r="N56" s="83">
        <v>157486.31743192725</v>
      </c>
      <c r="O56" s="3"/>
      <c r="P56" s="13" t="s">
        <v>223</v>
      </c>
      <c r="Q56" s="30">
        <f t="shared" si="18"/>
        <v>0.15064248441589331</v>
      </c>
      <c r="R56" s="30">
        <f t="shared" si="17"/>
        <v>0.16946278866369041</v>
      </c>
      <c r="S56" s="30">
        <f t="shared" si="17"/>
        <v>0.23379233332615587</v>
      </c>
      <c r="T56" s="30">
        <f t="shared" si="17"/>
        <v>0.21851056547814654</v>
      </c>
      <c r="U56" s="30">
        <f t="shared" si="17"/>
        <v>0.10353013726811619</v>
      </c>
      <c r="V56" s="30">
        <f t="shared" si="17"/>
        <v>0.12504219085611012</v>
      </c>
      <c r="W56" s="30">
        <f t="shared" si="17"/>
        <v>0.16163518467791813</v>
      </c>
      <c r="X56" s="30">
        <f t="shared" si="17"/>
        <v>0.16954428837971117</v>
      </c>
      <c r="Y56" s="30">
        <f t="shared" si="17"/>
        <v>6.2979038494092254E-2</v>
      </c>
      <c r="Z56" s="30">
        <f t="shared" si="17"/>
        <v>8.5227507113478526E-2</v>
      </c>
      <c r="AA56" s="30">
        <f t="shared" si="17"/>
        <v>0.11683903868378326</v>
      </c>
      <c r="AB56" s="30">
        <f t="shared" si="17"/>
        <v>0.12477797161114258</v>
      </c>
      <c r="AC56" s="17" t="s">
        <v>224</v>
      </c>
      <c r="AD56" s="20">
        <f>0.51*C5+0.49*C6</f>
        <v>0.78042148303894288</v>
      </c>
    </row>
    <row r="57" spans="2:30">
      <c r="B57" s="13" t="s">
        <v>225</v>
      </c>
      <c r="C57" s="81">
        <v>0</v>
      </c>
      <c r="D57" s="82">
        <v>0</v>
      </c>
      <c r="E57" s="82">
        <v>0</v>
      </c>
      <c r="F57" s="83">
        <v>0</v>
      </c>
      <c r="G57" s="81">
        <v>0</v>
      </c>
      <c r="H57" s="82">
        <v>0</v>
      </c>
      <c r="I57" s="82">
        <v>0</v>
      </c>
      <c r="J57" s="83">
        <v>0</v>
      </c>
      <c r="K57" s="81">
        <v>0</v>
      </c>
      <c r="L57" s="82">
        <v>0</v>
      </c>
      <c r="M57" s="82">
        <v>0</v>
      </c>
      <c r="N57" s="83">
        <v>0</v>
      </c>
      <c r="O57" s="3"/>
      <c r="P57" s="13" t="s">
        <v>226</v>
      </c>
      <c r="Q57" s="30">
        <f>C57/C$61</f>
        <v>0</v>
      </c>
      <c r="R57" s="30">
        <f t="shared" si="17"/>
        <v>0</v>
      </c>
      <c r="S57" s="30">
        <f t="shared" si="17"/>
        <v>0</v>
      </c>
      <c r="T57" s="30">
        <f t="shared" si="17"/>
        <v>0</v>
      </c>
      <c r="U57" s="30">
        <f t="shared" si="17"/>
        <v>0</v>
      </c>
      <c r="V57" s="30">
        <f t="shared" si="17"/>
        <v>0</v>
      </c>
      <c r="W57" s="30">
        <f t="shared" si="17"/>
        <v>0</v>
      </c>
      <c r="X57" s="30">
        <f t="shared" si="17"/>
        <v>0</v>
      </c>
      <c r="Y57" s="30">
        <f t="shared" si="17"/>
        <v>0</v>
      </c>
      <c r="Z57" s="30">
        <f t="shared" si="17"/>
        <v>0</v>
      </c>
      <c r="AA57" s="30">
        <f t="shared" si="17"/>
        <v>0</v>
      </c>
      <c r="AB57" s="30">
        <f t="shared" si="17"/>
        <v>0</v>
      </c>
      <c r="AC57" s="17" t="s">
        <v>158</v>
      </c>
      <c r="AD57" s="20">
        <f>VLOOKUP(AC57,$B$2:$C$7,2,FALSE)</f>
        <v>0.56511234148053879</v>
      </c>
    </row>
    <row r="58" spans="2:30">
      <c r="B58" s="13" t="s">
        <v>227</v>
      </c>
      <c r="C58" s="81">
        <v>0</v>
      </c>
      <c r="D58" s="82">
        <v>0</v>
      </c>
      <c r="E58" s="82">
        <v>0</v>
      </c>
      <c r="F58" s="83">
        <v>0</v>
      </c>
      <c r="G58" s="81">
        <v>0</v>
      </c>
      <c r="H58" s="82">
        <v>0</v>
      </c>
      <c r="I58" s="82">
        <v>0</v>
      </c>
      <c r="J58" s="83">
        <v>0</v>
      </c>
      <c r="K58" s="81">
        <v>0</v>
      </c>
      <c r="L58" s="82">
        <v>0</v>
      </c>
      <c r="M58" s="82">
        <v>0</v>
      </c>
      <c r="N58" s="83">
        <v>0</v>
      </c>
      <c r="O58" s="3"/>
      <c r="P58" s="13" t="s">
        <v>228</v>
      </c>
      <c r="Q58" s="30">
        <f t="shared" si="18"/>
        <v>0</v>
      </c>
      <c r="R58" s="30">
        <f t="shared" si="17"/>
        <v>0</v>
      </c>
      <c r="S58" s="30">
        <f t="shared" si="17"/>
        <v>0</v>
      </c>
      <c r="T58" s="30">
        <f t="shared" si="17"/>
        <v>0</v>
      </c>
      <c r="U58" s="30">
        <f t="shared" si="17"/>
        <v>0</v>
      </c>
      <c r="V58" s="30">
        <f t="shared" si="17"/>
        <v>0</v>
      </c>
      <c r="W58" s="30">
        <f t="shared" si="17"/>
        <v>0</v>
      </c>
      <c r="X58" s="30">
        <f t="shared" si="17"/>
        <v>0</v>
      </c>
      <c r="Y58" s="30">
        <f t="shared" si="17"/>
        <v>0</v>
      </c>
      <c r="Z58" s="30">
        <f t="shared" si="17"/>
        <v>0</v>
      </c>
      <c r="AA58" s="30">
        <f t="shared" si="17"/>
        <v>0</v>
      </c>
      <c r="AB58" s="30">
        <f t="shared" si="17"/>
        <v>0</v>
      </c>
      <c r="AC58" s="17" t="s">
        <v>151</v>
      </c>
      <c r="AD58" s="20">
        <f>VLOOKUP(AC58,$B$2:$C$7,2,FALSE)</f>
        <v>1.0113825191093386</v>
      </c>
    </row>
    <row r="59" spans="2:30">
      <c r="B59" s="13" t="s">
        <v>229</v>
      </c>
      <c r="C59" s="81">
        <v>18211.321929439524</v>
      </c>
      <c r="D59" s="82">
        <v>36913.30886681431</v>
      </c>
      <c r="E59" s="82">
        <v>73829.141185690445</v>
      </c>
      <c r="F59" s="83">
        <v>110999.83667361733</v>
      </c>
      <c r="G59" s="81">
        <v>35893.072967589331</v>
      </c>
      <c r="H59" s="82">
        <v>71782.591199396906</v>
      </c>
      <c r="I59" s="82">
        <v>143592.84409486232</v>
      </c>
      <c r="J59" s="83">
        <v>216015.38023917793</v>
      </c>
      <c r="K59" s="81">
        <v>176552.48370141065</v>
      </c>
      <c r="L59" s="82">
        <v>353107.62650467979</v>
      </c>
      <c r="M59" s="82">
        <v>706039.66238100326</v>
      </c>
      <c r="N59" s="83">
        <v>1059326.0387023392</v>
      </c>
      <c r="O59" s="3"/>
      <c r="P59" s="13" t="s">
        <v>230</v>
      </c>
      <c r="Q59" s="30">
        <f t="shared" si="18"/>
        <v>0.77135432152854122</v>
      </c>
      <c r="R59" s="30">
        <f t="shared" si="17"/>
        <v>0.76891423554014948</v>
      </c>
      <c r="S59" s="30">
        <f t="shared" si="17"/>
        <v>0.72728046584036721</v>
      </c>
      <c r="T59" s="30">
        <f t="shared" si="17"/>
        <v>0.74884110853608044</v>
      </c>
      <c r="U59" s="30">
        <f t="shared" si="17"/>
        <v>0.81331030232195967</v>
      </c>
      <c r="V59" s="30">
        <f t="shared" si="17"/>
        <v>0.80849011034870255</v>
      </c>
      <c r="W59" s="30">
        <f t="shared" si="17"/>
        <v>0.79631405434515257</v>
      </c>
      <c r="X59" s="30">
        <f t="shared" si="17"/>
        <v>0.79597262660169565</v>
      </c>
      <c r="Y59" s="30">
        <f t="shared" si="17"/>
        <v>0.84906380567432116</v>
      </c>
      <c r="Z59" s="30">
        <f t="shared" si="17"/>
        <v>0.84433659111642312</v>
      </c>
      <c r="AA59" s="30">
        <f t="shared" si="17"/>
        <v>0.83868089256823553</v>
      </c>
      <c r="AB59" s="30">
        <f t="shared" si="17"/>
        <v>0.83931452928460937</v>
      </c>
      <c r="AC59" s="17" t="s">
        <v>153</v>
      </c>
      <c r="AD59" s="20">
        <f>VLOOKUP(AC59,$B$2:$C$7,2,FALSE)</f>
        <v>1.2008523757707654</v>
      </c>
    </row>
    <row r="60" spans="2:30">
      <c r="B60" s="13" t="s">
        <v>231</v>
      </c>
      <c r="C60" s="81">
        <v>0</v>
      </c>
      <c r="D60" s="82">
        <v>0</v>
      </c>
      <c r="E60" s="82">
        <v>0</v>
      </c>
      <c r="F60" s="83">
        <v>0</v>
      </c>
      <c r="G60" s="81">
        <v>0</v>
      </c>
      <c r="H60" s="82">
        <v>0</v>
      </c>
      <c r="I60" s="82">
        <v>0</v>
      </c>
      <c r="J60" s="83">
        <v>0</v>
      </c>
      <c r="K60" s="81">
        <v>0</v>
      </c>
      <c r="L60" s="82">
        <v>0</v>
      </c>
      <c r="M60" s="82">
        <v>0</v>
      </c>
      <c r="N60" s="83">
        <v>0</v>
      </c>
      <c r="O60" s="3"/>
      <c r="P60" s="13" t="s">
        <v>232</v>
      </c>
      <c r="Q60" s="30">
        <f t="shared" si="18"/>
        <v>0</v>
      </c>
      <c r="R60" s="30">
        <f t="shared" si="17"/>
        <v>0</v>
      </c>
      <c r="S60" s="30">
        <f t="shared" si="17"/>
        <v>0</v>
      </c>
      <c r="T60" s="30">
        <f t="shared" si="17"/>
        <v>0</v>
      </c>
      <c r="U60" s="30">
        <f t="shared" si="17"/>
        <v>0</v>
      </c>
      <c r="V60" s="30">
        <f t="shared" si="17"/>
        <v>0</v>
      </c>
      <c r="W60" s="30">
        <f t="shared" si="17"/>
        <v>0</v>
      </c>
      <c r="X60" s="30">
        <f t="shared" si="17"/>
        <v>0</v>
      </c>
      <c r="Y60" s="30">
        <f t="shared" si="17"/>
        <v>0</v>
      </c>
      <c r="Z60" s="30">
        <f t="shared" si="17"/>
        <v>0</v>
      </c>
      <c r="AA60" s="30">
        <f t="shared" si="17"/>
        <v>0</v>
      </c>
      <c r="AB60" s="30">
        <f t="shared" si="17"/>
        <v>0</v>
      </c>
      <c r="AC60" s="17" t="s">
        <v>151</v>
      </c>
      <c r="AD60" s="20">
        <f>VLOOKUP(AC60,$B$2:$C$7,2,FALSE)</f>
        <v>1.0113825191093386</v>
      </c>
    </row>
    <row r="61" spans="2:30" ht="15" thickBot="1">
      <c r="B61" s="13" t="s">
        <v>233</v>
      </c>
      <c r="C61" s="81">
        <v>23609.541583109778</v>
      </c>
      <c r="D61" s="81">
        <v>48007.056132708123</v>
      </c>
      <c r="E61" s="81">
        <v>101513.98896762807</v>
      </c>
      <c r="F61" s="81">
        <v>148228.82372284879</v>
      </c>
      <c r="G61" s="81">
        <v>44132.077099129849</v>
      </c>
      <c r="H61" s="81">
        <v>88785.985481550306</v>
      </c>
      <c r="I61" s="81">
        <v>180321.87591231908</v>
      </c>
      <c r="J61" s="81">
        <v>271385.43841818813</v>
      </c>
      <c r="K61" s="81">
        <v>207937.82813671319</v>
      </c>
      <c r="L61" s="81">
        <v>418207.18208810972</v>
      </c>
      <c r="M61" s="81">
        <v>841845.41300201311</v>
      </c>
      <c r="N61" s="81">
        <v>1262132.3731941788</v>
      </c>
      <c r="O61" s="3"/>
      <c r="P61" s="31" t="s">
        <v>234</v>
      </c>
      <c r="Q61" s="87">
        <f>SUM(Q54:Q60)</f>
        <v>1</v>
      </c>
      <c r="R61" s="87">
        <f t="shared" ref="R61:AB61" si="19">SUM(R54:R60)</f>
        <v>1</v>
      </c>
      <c r="S61" s="87">
        <f t="shared" si="19"/>
        <v>1</v>
      </c>
      <c r="T61" s="87">
        <f t="shared" si="19"/>
        <v>1</v>
      </c>
      <c r="U61" s="87">
        <f t="shared" si="19"/>
        <v>0.99999999999999978</v>
      </c>
      <c r="V61" s="87">
        <f t="shared" si="19"/>
        <v>0.99999999999999989</v>
      </c>
      <c r="W61" s="87">
        <f t="shared" si="19"/>
        <v>1</v>
      </c>
      <c r="X61" s="87">
        <f t="shared" si="19"/>
        <v>0.99999999999999978</v>
      </c>
      <c r="Y61" s="87">
        <f t="shared" si="19"/>
        <v>1</v>
      </c>
      <c r="Z61" s="87">
        <f t="shared" si="19"/>
        <v>1</v>
      </c>
      <c r="AA61" s="87">
        <f t="shared" si="19"/>
        <v>1</v>
      </c>
      <c r="AB61" s="87">
        <f t="shared" si="19"/>
        <v>1</v>
      </c>
      <c r="AC61" s="33"/>
      <c r="AD61" s="88"/>
    </row>
    <row r="62" spans="2:30" ht="15" thickTop="1">
      <c r="B62" s="3"/>
      <c r="C62" s="84"/>
      <c r="D62" s="80"/>
      <c r="E62" s="80"/>
      <c r="F62" s="85"/>
      <c r="G62" s="84"/>
      <c r="H62" s="80"/>
      <c r="I62" s="80"/>
      <c r="J62" s="85"/>
      <c r="K62" s="84"/>
      <c r="L62" s="80"/>
      <c r="M62" s="80"/>
      <c r="N62" s="85"/>
      <c r="O62" s="3"/>
      <c r="P62" s="24" t="s">
        <v>213</v>
      </c>
      <c r="Q62" s="20">
        <f t="shared" ref="Q62:AB62" si="20">SUMPRODUCT(Q54:Q60,$AD$54:$AD$60)</f>
        <v>1.0886272464108999</v>
      </c>
      <c r="R62" s="20">
        <f t="shared" si="20"/>
        <v>1.0907727408694303</v>
      </c>
      <c r="S62" s="20">
        <f t="shared" si="20"/>
        <v>1.0779739337152645</v>
      </c>
      <c r="T62" s="20">
        <f t="shared" si="20"/>
        <v>1.0883393310891545</v>
      </c>
      <c r="U62" s="20">
        <f t="shared" si="20"/>
        <v>1.1052049383091849</v>
      </c>
      <c r="V62" s="20">
        <f t="shared" si="20"/>
        <v>1.1063962476635938</v>
      </c>
      <c r="W62" s="20">
        <f t="shared" si="20"/>
        <v>1.1063455892024192</v>
      </c>
      <c r="X62" s="20">
        <f t="shared" si="20"/>
        <v>1.1077700296131998</v>
      </c>
      <c r="Y62" s="20">
        <f t="shared" si="20"/>
        <v>1.1192498112377141</v>
      </c>
      <c r="Z62" s="20">
        <f t="shared" si="20"/>
        <v>1.1206357909870392</v>
      </c>
      <c r="AA62" s="20">
        <f t="shared" si="20"/>
        <v>1.1236479084608271</v>
      </c>
      <c r="AB62" s="20">
        <f t="shared" si="20"/>
        <v>1.1256947825312378</v>
      </c>
      <c r="AC62" s="17"/>
      <c r="AD62" s="39"/>
    </row>
    <row r="63" spans="2:30">
      <c r="B63" s="14" t="s">
        <v>235</v>
      </c>
      <c r="C63" s="255">
        <v>64726.104499999994</v>
      </c>
      <c r="D63" s="256">
        <v>129452.20899999999</v>
      </c>
      <c r="E63" s="256">
        <v>258904.41799999998</v>
      </c>
      <c r="F63" s="257">
        <v>388356.62700000009</v>
      </c>
      <c r="G63" s="255">
        <v>129452.20899999999</v>
      </c>
      <c r="H63" s="256">
        <v>258904.41799999998</v>
      </c>
      <c r="I63" s="256">
        <v>517808.83599999995</v>
      </c>
      <c r="J63" s="257">
        <v>776713.25400000019</v>
      </c>
      <c r="K63" s="255">
        <v>647261.04500000004</v>
      </c>
      <c r="L63" s="256">
        <v>1294522.0900000001</v>
      </c>
      <c r="M63" s="256">
        <v>2589044.1800000002</v>
      </c>
      <c r="N63" s="257">
        <v>3883566.27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2:30" ht="15" thickBot="1">
      <c r="B64" s="14" t="s">
        <v>236</v>
      </c>
      <c r="C64" s="255">
        <v>23609.541583109778</v>
      </c>
      <c r="D64" s="255">
        <v>48007.056132708123</v>
      </c>
      <c r="E64" s="255">
        <v>101513.98896762807</v>
      </c>
      <c r="F64" s="255">
        <v>148228.82372284879</v>
      </c>
      <c r="G64" s="255">
        <v>44132.077099129849</v>
      </c>
      <c r="H64" s="255">
        <v>88785.985481550306</v>
      </c>
      <c r="I64" s="255">
        <v>180321.87591231908</v>
      </c>
      <c r="J64" s="255">
        <v>271385.43841818813</v>
      </c>
      <c r="K64" s="255">
        <v>207937.82813671319</v>
      </c>
      <c r="L64" s="255">
        <v>418207.18208810972</v>
      </c>
      <c r="M64" s="255">
        <v>841845.41300201311</v>
      </c>
      <c r="N64" s="255">
        <v>1262132.3731941788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2:30" ht="15" thickBot="1">
      <c r="B65" s="27" t="s">
        <v>237</v>
      </c>
      <c r="C65" s="258">
        <v>364.76073703940858</v>
      </c>
      <c r="D65" s="259">
        <v>370.84771672539114</v>
      </c>
      <c r="E65" s="259">
        <v>392.09060143434124</v>
      </c>
      <c r="F65" s="260">
        <v>381.68223075757828</v>
      </c>
      <c r="G65" s="258">
        <v>340.91405191185152</v>
      </c>
      <c r="H65" s="259">
        <v>342.92958832996942</v>
      </c>
      <c r="I65" s="259">
        <v>348.24024500099318</v>
      </c>
      <c r="J65" s="260">
        <v>349.40235282529125</v>
      </c>
      <c r="K65" s="258">
        <v>321.25806078243619</v>
      </c>
      <c r="L65" s="259">
        <v>323.0591314885246</v>
      </c>
      <c r="M65" s="259">
        <v>325.15683567903159</v>
      </c>
      <c r="N65" s="260">
        <v>324.99313400262355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2:30" ht="15" thickTop="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2:30" ht="15" thickBot="1">
      <c r="B67" s="3"/>
      <c r="C67" s="326" t="s">
        <v>40</v>
      </c>
      <c r="D67" s="327"/>
      <c r="E67" s="327"/>
      <c r="F67" s="328"/>
      <c r="G67" s="326" t="s">
        <v>41</v>
      </c>
      <c r="H67" s="327"/>
      <c r="I67" s="327"/>
      <c r="J67" s="328"/>
      <c r="K67" s="326" t="s">
        <v>42</v>
      </c>
      <c r="L67" s="327"/>
      <c r="M67" s="327"/>
      <c r="N67" s="328"/>
      <c r="O67" s="3"/>
      <c r="P67" s="3"/>
      <c r="Q67" s="326" t="s">
        <v>40</v>
      </c>
      <c r="R67" s="327"/>
      <c r="S67" s="327"/>
      <c r="T67" s="328"/>
      <c r="U67" s="326" t="s">
        <v>41</v>
      </c>
      <c r="V67" s="327"/>
      <c r="W67" s="327"/>
      <c r="X67" s="328"/>
      <c r="Y67" s="326" t="s">
        <v>42</v>
      </c>
      <c r="Z67" s="327"/>
      <c r="AA67" s="327"/>
      <c r="AB67" s="328"/>
      <c r="AC67" s="353" t="s">
        <v>196</v>
      </c>
      <c r="AD67" s="354"/>
    </row>
    <row r="68" spans="2:30" ht="16.149999999999999" thickBot="1">
      <c r="B68" s="5" t="s">
        <v>56</v>
      </c>
      <c r="C68" s="28">
        <v>0.05</v>
      </c>
      <c r="D68" s="26">
        <v>0.1</v>
      </c>
      <c r="E68" s="26">
        <v>0.2</v>
      </c>
      <c r="F68" s="29">
        <v>0.3</v>
      </c>
      <c r="G68" s="28">
        <v>0.05</v>
      </c>
      <c r="H68" s="26">
        <v>0.1</v>
      </c>
      <c r="I68" s="26">
        <v>0.2</v>
      </c>
      <c r="J68" s="29">
        <v>0.3</v>
      </c>
      <c r="K68" s="28">
        <v>0.05</v>
      </c>
      <c r="L68" s="26">
        <v>0.1</v>
      </c>
      <c r="M68" s="26">
        <v>0.2</v>
      </c>
      <c r="N68" s="29">
        <v>0.3</v>
      </c>
      <c r="O68" s="3"/>
      <c r="P68" s="5" t="s">
        <v>56</v>
      </c>
      <c r="Q68" s="36">
        <v>0.05</v>
      </c>
      <c r="R68" s="37">
        <v>0.1</v>
      </c>
      <c r="S68" s="37">
        <v>0.2</v>
      </c>
      <c r="T68" s="38">
        <v>0.3</v>
      </c>
      <c r="U68" s="36">
        <v>0.05</v>
      </c>
      <c r="V68" s="37">
        <v>0.1</v>
      </c>
      <c r="W68" s="37">
        <v>0.2</v>
      </c>
      <c r="X68" s="38">
        <v>0.3</v>
      </c>
      <c r="Y68" s="36">
        <v>0.05</v>
      </c>
      <c r="Z68" s="37">
        <v>0.1</v>
      </c>
      <c r="AA68" s="37">
        <v>0.2</v>
      </c>
      <c r="AB68" s="38">
        <v>0.3</v>
      </c>
      <c r="AC68" s="355"/>
      <c r="AD68" s="356"/>
    </row>
    <row r="69" spans="2:30" ht="15" thickTop="1">
      <c r="B69" s="13" t="s">
        <v>218</v>
      </c>
      <c r="C69" s="79">
        <v>67.602256492943894</v>
      </c>
      <c r="D69" s="79">
        <v>123.9145129858878</v>
      </c>
      <c r="E69" s="79">
        <v>228.12902597177558</v>
      </c>
      <c r="F69" s="79">
        <v>336.34353895766344</v>
      </c>
      <c r="G69" s="79">
        <v>66.65114516059765</v>
      </c>
      <c r="H69" s="79">
        <v>131.85902597177559</v>
      </c>
      <c r="I69" s="79">
        <v>234.31805194355121</v>
      </c>
      <c r="J69" s="79">
        <v>344.7770779153268</v>
      </c>
      <c r="K69" s="79">
        <v>967.37730460924502</v>
      </c>
      <c r="L69" s="79">
        <v>1921.77</v>
      </c>
      <c r="M69" s="79">
        <v>3831.44</v>
      </c>
      <c r="N69" s="79">
        <v>5741.21</v>
      </c>
      <c r="O69" s="3"/>
      <c r="P69" s="13" t="s">
        <v>219</v>
      </c>
      <c r="Q69" s="30">
        <f>C69/C$76</f>
        <v>4.8367627158525058E-2</v>
      </c>
      <c r="R69" s="30">
        <f t="shared" ref="R69:AB75" si="21">D69/D$76</f>
        <v>4.895170585946735E-2</v>
      </c>
      <c r="S69" s="30">
        <f t="shared" si="21"/>
        <v>4.2916985304700089E-2</v>
      </c>
      <c r="T69" s="30">
        <f t="shared" si="21"/>
        <v>3.9053698974800245E-2</v>
      </c>
      <c r="U69" s="30">
        <f t="shared" si="21"/>
        <v>2.0993677469703594E-2</v>
      </c>
      <c r="V69" s="30">
        <f t="shared" si="21"/>
        <v>2.1414476625876307E-2</v>
      </c>
      <c r="W69" s="30">
        <f t="shared" si="21"/>
        <v>1.9210370675639545E-2</v>
      </c>
      <c r="X69" s="30">
        <f t="shared" si="21"/>
        <v>1.7898990123550031E-2</v>
      </c>
      <c r="Y69" s="30">
        <f t="shared" si="21"/>
        <v>6.2016114045416404E-2</v>
      </c>
      <c r="Z69" s="30">
        <f t="shared" si="21"/>
        <v>6.2973292899784331E-2</v>
      </c>
      <c r="AA69" s="30">
        <f t="shared" si="21"/>
        <v>6.9253179754525107E-2</v>
      </c>
      <c r="AB69" s="30">
        <f t="shared" si="21"/>
        <v>6.7032298232994919E-2</v>
      </c>
      <c r="AC69" s="17" t="s">
        <v>151</v>
      </c>
      <c r="AD69" s="20">
        <f>VLOOKUP(AC69,$B$2:$C$7,2,FALSE)</f>
        <v>1.0113825191093386</v>
      </c>
    </row>
    <row r="70" spans="2:30">
      <c r="B70" s="13" t="s">
        <v>220</v>
      </c>
      <c r="C70" s="79">
        <v>506.24989782205898</v>
      </c>
      <c r="D70" s="79">
        <v>938.17082264411806</v>
      </c>
      <c r="E70" s="79">
        <v>1469.4326762882361</v>
      </c>
      <c r="F70" s="79">
        <v>1849.5845306404831</v>
      </c>
      <c r="G70" s="79">
        <v>989.07082264411792</v>
      </c>
      <c r="H70" s="79">
        <v>1862.232676288236</v>
      </c>
      <c r="I70" s="79">
        <v>2877.3463815764721</v>
      </c>
      <c r="J70" s="79">
        <v>3652.5600895728376</v>
      </c>
      <c r="K70" s="79">
        <v>4822.6982342205902</v>
      </c>
      <c r="L70" s="79">
        <v>9193.3875011493092</v>
      </c>
      <c r="M70" s="79">
        <v>13929.746033006748</v>
      </c>
      <c r="N70" s="79">
        <v>17793.814565864184</v>
      </c>
      <c r="O70" s="3"/>
      <c r="P70" s="13" t="s">
        <v>221</v>
      </c>
      <c r="Q70" s="30">
        <f t="shared" ref="Q70:Q75" si="22">C70/C$76</f>
        <v>0.3622084169550544</v>
      </c>
      <c r="R70" s="30">
        <f t="shared" si="21"/>
        <v>0.37061891338942382</v>
      </c>
      <c r="S70" s="30">
        <f t="shared" si="21"/>
        <v>0.27643838966072937</v>
      </c>
      <c r="T70" s="30">
        <f t="shared" si="21"/>
        <v>0.21475993774678342</v>
      </c>
      <c r="U70" s="30">
        <f t="shared" si="21"/>
        <v>0.31153604030738047</v>
      </c>
      <c r="V70" s="30">
        <f t="shared" si="21"/>
        <v>0.30243464809798876</v>
      </c>
      <c r="W70" s="30">
        <f t="shared" si="21"/>
        <v>0.23589685085641762</v>
      </c>
      <c r="X70" s="30">
        <f t="shared" si="21"/>
        <v>0.18962147183402112</v>
      </c>
      <c r="Y70" s="30">
        <f t="shared" si="21"/>
        <v>0.30917099489000577</v>
      </c>
      <c r="Z70" s="30">
        <f t="shared" si="21"/>
        <v>0.30125243075450853</v>
      </c>
      <c r="AA70" s="30">
        <f t="shared" si="21"/>
        <v>0.25177980236117475</v>
      </c>
      <c r="AB70" s="30">
        <f t="shared" si="21"/>
        <v>0.20775416413641323</v>
      </c>
      <c r="AC70" s="17" t="s">
        <v>158</v>
      </c>
      <c r="AD70" s="20">
        <f>VLOOKUP(AC70,$B$2:$C$7,2,FALSE)</f>
        <v>0.56511234148053879</v>
      </c>
    </row>
    <row r="71" spans="2:30">
      <c r="B71" s="13" t="s">
        <v>222</v>
      </c>
      <c r="C71" s="79">
        <v>229.61223785731352</v>
      </c>
      <c r="D71" s="79">
        <v>521.03588771462705</v>
      </c>
      <c r="E71" s="79">
        <v>1514.3536651986142</v>
      </c>
      <c r="F71" s="79">
        <v>2846.4036225479213</v>
      </c>
      <c r="G71" s="79">
        <v>1694.1824239453235</v>
      </c>
      <c r="H71" s="79">
        <v>3311.9920718906474</v>
      </c>
      <c r="I71" s="79">
        <v>7472.3003158200145</v>
      </c>
      <c r="J71" s="79">
        <v>12016.318804480023</v>
      </c>
      <c r="K71" s="79">
        <v>7932.8726705341569</v>
      </c>
      <c r="L71" s="79">
        <v>15640.040920068312</v>
      </c>
      <c r="M71" s="79">
        <v>29959.729664136627</v>
      </c>
      <c r="N71" s="79">
        <v>47629.115808204944</v>
      </c>
      <c r="O71" s="3"/>
      <c r="P71" s="13" t="s">
        <v>223</v>
      </c>
      <c r="Q71" s="30">
        <f t="shared" si="22"/>
        <v>0.16428148538024467</v>
      </c>
      <c r="R71" s="30">
        <f t="shared" si="21"/>
        <v>0.20583218949129573</v>
      </c>
      <c r="S71" s="30">
        <f t="shared" si="21"/>
        <v>0.28488919250235384</v>
      </c>
      <c r="T71" s="30">
        <f t="shared" si="21"/>
        <v>0.33050312362254064</v>
      </c>
      <c r="U71" s="30">
        <f t="shared" si="21"/>
        <v>0.53363103210678331</v>
      </c>
      <c r="V71" s="30">
        <f t="shared" si="21"/>
        <v>0.53788184984599618</v>
      </c>
      <c r="W71" s="30">
        <f t="shared" si="21"/>
        <v>0.61261032889255174</v>
      </c>
      <c r="X71" s="30">
        <f t="shared" si="21"/>
        <v>0.62382329156939365</v>
      </c>
      <c r="Y71" s="30">
        <f t="shared" si="21"/>
        <v>0.50855641733535839</v>
      </c>
      <c r="Z71" s="30">
        <f t="shared" si="21"/>
        <v>0.51249883067384461</v>
      </c>
      <c r="AA71" s="30">
        <f t="shared" si="21"/>
        <v>0.54152134545430231</v>
      </c>
      <c r="AB71" s="30">
        <f t="shared" si="21"/>
        <v>0.55610038570779441</v>
      </c>
      <c r="AC71" s="17" t="s">
        <v>224</v>
      </c>
      <c r="AD71" s="20">
        <f>0.51*C5+0.49*C6</f>
        <v>0.78042148303894288</v>
      </c>
    </row>
    <row r="72" spans="2:30">
      <c r="B72" s="13" t="s">
        <v>225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3"/>
      <c r="P72" s="13" t="s">
        <v>226</v>
      </c>
      <c r="Q72" s="30">
        <f t="shared" si="22"/>
        <v>0</v>
      </c>
      <c r="R72" s="30">
        <f t="shared" si="21"/>
        <v>0</v>
      </c>
      <c r="S72" s="30">
        <f t="shared" si="21"/>
        <v>0</v>
      </c>
      <c r="T72" s="30">
        <f t="shared" si="21"/>
        <v>0</v>
      </c>
      <c r="U72" s="30">
        <f t="shared" si="21"/>
        <v>0</v>
      </c>
      <c r="V72" s="30">
        <f t="shared" si="21"/>
        <v>0</v>
      </c>
      <c r="W72" s="30">
        <f t="shared" si="21"/>
        <v>0</v>
      </c>
      <c r="X72" s="30">
        <f t="shared" si="21"/>
        <v>0</v>
      </c>
      <c r="Y72" s="30">
        <f t="shared" si="21"/>
        <v>0</v>
      </c>
      <c r="Z72" s="30">
        <f t="shared" si="21"/>
        <v>0</v>
      </c>
      <c r="AA72" s="30">
        <f t="shared" si="21"/>
        <v>0</v>
      </c>
      <c r="AB72" s="30">
        <f t="shared" si="21"/>
        <v>0</v>
      </c>
      <c r="AC72" s="17" t="s">
        <v>158</v>
      </c>
      <c r="AD72" s="20">
        <f>VLOOKUP(AC72,$B$2:$C$7,2,FALSE)</f>
        <v>0.56511234148053879</v>
      </c>
    </row>
    <row r="73" spans="2:30">
      <c r="B73" s="13" t="s">
        <v>227</v>
      </c>
      <c r="C73" s="79">
        <v>76.436252576987499</v>
      </c>
      <c r="D73" s="79">
        <v>21.872505153975002</v>
      </c>
      <c r="E73" s="79">
        <v>13.145010307950006</v>
      </c>
      <c r="F73" s="79">
        <v>21.817515461925009</v>
      </c>
      <c r="G73" s="79">
        <v>22.872505153975002</v>
      </c>
      <c r="H73" s="79">
        <v>43.845010307950005</v>
      </c>
      <c r="I73" s="79">
        <v>25.790020615900012</v>
      </c>
      <c r="J73" s="79">
        <v>43.535030923850023</v>
      </c>
      <c r="K73" s="79">
        <v>24.5</v>
      </c>
      <c r="L73" s="79">
        <v>39.5</v>
      </c>
      <c r="M73" s="79">
        <v>98.6</v>
      </c>
      <c r="N73" s="79">
        <v>908</v>
      </c>
      <c r="O73" s="3"/>
      <c r="P73" s="13" t="s">
        <v>228</v>
      </c>
      <c r="Q73" s="30">
        <f t="shared" si="22"/>
        <v>5.4688117791222936E-2</v>
      </c>
      <c r="R73" s="30">
        <f t="shared" si="21"/>
        <v>8.6406056313113704E-3</v>
      </c>
      <c r="S73" s="30">
        <f t="shared" si="21"/>
        <v>2.4729172967503849E-3</v>
      </c>
      <c r="T73" s="30">
        <f t="shared" si="21"/>
        <v>2.5332869002586069E-3</v>
      </c>
      <c r="U73" s="30">
        <f t="shared" si="21"/>
        <v>7.2043472766999432E-3</v>
      </c>
      <c r="V73" s="30">
        <f t="shared" si="21"/>
        <v>7.1206194758474586E-3</v>
      </c>
      <c r="W73" s="30">
        <f t="shared" si="21"/>
        <v>2.1143733982697107E-3</v>
      </c>
      <c r="X73" s="30">
        <f t="shared" si="21"/>
        <v>2.2601070037660894E-3</v>
      </c>
      <c r="Y73" s="30">
        <f t="shared" si="21"/>
        <v>1.5706330786067332E-3</v>
      </c>
      <c r="Z73" s="30">
        <f t="shared" si="21"/>
        <v>1.2943510771536038E-3</v>
      </c>
      <c r="AA73" s="30">
        <f t="shared" si="21"/>
        <v>1.7821924717067669E-3</v>
      </c>
      <c r="AB73" s="30">
        <f t="shared" si="21"/>
        <v>1.0601480662710367E-2</v>
      </c>
      <c r="AC73" s="17" t="s">
        <v>151</v>
      </c>
      <c r="AD73" s="20">
        <f>VLOOKUP(AC73,$B$2:$C$7,2,FALSE)</f>
        <v>1.0113825191093386</v>
      </c>
    </row>
    <row r="74" spans="2:30">
      <c r="B74" s="13" t="s">
        <v>229</v>
      </c>
      <c r="C74" s="79">
        <v>420.79504174607177</v>
      </c>
      <c r="D74" s="79">
        <v>731.41878094338927</v>
      </c>
      <c r="E74" s="79">
        <v>1700.5279458800007</v>
      </c>
      <c r="F74" s="79">
        <v>2973.2358025709968</v>
      </c>
      <c r="G74" s="79">
        <v>207.09301050779024</v>
      </c>
      <c r="H74" s="79">
        <v>417.54255025722409</v>
      </c>
      <c r="I74" s="79">
        <v>807.72209813423615</v>
      </c>
      <c r="J74" s="79">
        <v>2036.1850046625627</v>
      </c>
      <c r="K74" s="79">
        <v>877.60735108766073</v>
      </c>
      <c r="L74" s="79">
        <v>1774.0242220115276</v>
      </c>
      <c r="M74" s="79">
        <v>3607.5973674253141</v>
      </c>
      <c r="N74" s="79">
        <v>7729.7731719554249</v>
      </c>
      <c r="O74" s="3"/>
      <c r="P74" s="13" t="s">
        <v>230</v>
      </c>
      <c r="Q74" s="30">
        <f t="shared" si="22"/>
        <v>0.30106772680663924</v>
      </c>
      <c r="R74" s="30">
        <f t="shared" si="21"/>
        <v>0.28894272480341826</v>
      </c>
      <c r="S74" s="30">
        <f t="shared" si="21"/>
        <v>0.31991340230678578</v>
      </c>
      <c r="T74" s="30">
        <f t="shared" si="21"/>
        <v>0.34522992882382131</v>
      </c>
      <c r="U74" s="30">
        <f t="shared" si="21"/>
        <v>6.5229845013986265E-2</v>
      </c>
      <c r="V74" s="30">
        <f t="shared" si="21"/>
        <v>6.7810717672873042E-2</v>
      </c>
      <c r="W74" s="30">
        <f t="shared" si="21"/>
        <v>6.6220424672197437E-2</v>
      </c>
      <c r="X74" s="30">
        <f t="shared" si="21"/>
        <v>0.10570788379709661</v>
      </c>
      <c r="Y74" s="30">
        <f t="shared" si="21"/>
        <v>5.6261189210069902E-2</v>
      </c>
      <c r="Z74" s="30">
        <f t="shared" si="21"/>
        <v>5.8131902852081134E-2</v>
      </c>
      <c r="AA74" s="30">
        <f t="shared" si="21"/>
        <v>6.5207229910492354E-2</v>
      </c>
      <c r="AB74" s="30">
        <f t="shared" si="21"/>
        <v>9.025004494451852E-2</v>
      </c>
      <c r="AC74" s="17" t="s">
        <v>154</v>
      </c>
      <c r="AD74" s="20">
        <f>VLOOKUP(AC74,$B$2:$C$7,2,FALSE)</f>
        <v>1.0374876979511496</v>
      </c>
    </row>
    <row r="75" spans="2:30">
      <c r="B75" s="13" t="s">
        <v>231</v>
      </c>
      <c r="C75" s="79">
        <v>96.97999999999999</v>
      </c>
      <c r="D75" s="79">
        <v>194.95</v>
      </c>
      <c r="E75" s="79">
        <v>390</v>
      </c>
      <c r="F75" s="79">
        <v>584.95000000000005</v>
      </c>
      <c r="G75" s="79">
        <v>194.95</v>
      </c>
      <c r="H75" s="79">
        <v>390</v>
      </c>
      <c r="I75" s="79">
        <v>780</v>
      </c>
      <c r="J75" s="79">
        <v>1169</v>
      </c>
      <c r="K75" s="79">
        <v>973.75</v>
      </c>
      <c r="L75" s="79">
        <v>1948.5</v>
      </c>
      <c r="M75" s="79">
        <v>3898</v>
      </c>
      <c r="N75" s="79">
        <v>5846.5</v>
      </c>
      <c r="O75" s="3"/>
      <c r="P75" s="13" t="s">
        <v>232</v>
      </c>
      <c r="Q75" s="30">
        <f t="shared" si="22"/>
        <v>6.9386625908313557E-2</v>
      </c>
      <c r="R75" s="30">
        <f t="shared" si="21"/>
        <v>7.7013860825083463E-2</v>
      </c>
      <c r="S75" s="30">
        <f t="shared" si="21"/>
        <v>7.3369112928680272E-2</v>
      </c>
      <c r="T75" s="30">
        <f t="shared" si="21"/>
        <v>6.7920023931795831E-2</v>
      </c>
      <c r="U75" s="30">
        <f t="shared" si="21"/>
        <v>6.1405057825446314E-2</v>
      </c>
      <c r="V75" s="30">
        <f t="shared" si="21"/>
        <v>6.3337688281418281E-2</v>
      </c>
      <c r="W75" s="30">
        <f t="shared" si="21"/>
        <v>6.3947651504923805E-2</v>
      </c>
      <c r="X75" s="30">
        <f t="shared" si="21"/>
        <v>6.0688255672172779E-2</v>
      </c>
      <c r="Y75" s="30">
        <f t="shared" si="21"/>
        <v>6.242465144054312E-2</v>
      </c>
      <c r="Z75" s="30">
        <f t="shared" si="21"/>
        <v>6.3849191742627778E-2</v>
      </c>
      <c r="AA75" s="30">
        <f t="shared" si="21"/>
        <v>7.0456250047798957E-2</v>
      </c>
      <c r="AB75" s="30">
        <f t="shared" si="21"/>
        <v>6.8261626315568452E-2</v>
      </c>
      <c r="AC75" s="17" t="s">
        <v>151</v>
      </c>
      <c r="AD75" s="20">
        <f>VLOOKUP(AC75,$B$2:$C$7,2,FALSE)</f>
        <v>1.0113825191093386</v>
      </c>
    </row>
    <row r="76" spans="2:30" ht="15" thickBot="1">
      <c r="B76" s="13" t="s">
        <v>233</v>
      </c>
      <c r="C76" s="79">
        <v>1397.6756864953759</v>
      </c>
      <c r="D76" s="79">
        <v>2531.3625094419972</v>
      </c>
      <c r="E76" s="79">
        <v>5315.5883236465779</v>
      </c>
      <c r="F76" s="79">
        <v>8612.3350101789893</v>
      </c>
      <c r="G76" s="79">
        <v>3174.8199074118047</v>
      </c>
      <c r="H76" s="79">
        <v>6157.4713347158331</v>
      </c>
      <c r="I76" s="79">
        <v>12197.476868090176</v>
      </c>
      <c r="J76" s="79">
        <v>19262.376007554594</v>
      </c>
      <c r="K76" s="79">
        <v>15598.805560451648</v>
      </c>
      <c r="L76" s="79">
        <v>30517.22264322915</v>
      </c>
      <c r="M76" s="79">
        <v>55325.113064568679</v>
      </c>
      <c r="N76" s="79">
        <v>85648.41354602456</v>
      </c>
      <c r="O76" s="3"/>
      <c r="P76" s="31" t="s">
        <v>234</v>
      </c>
      <c r="Q76" s="89">
        <f>SUM(Q69:Q75)</f>
        <v>0.99999999999999978</v>
      </c>
      <c r="R76" s="89">
        <f t="shared" ref="R76:AA76" si="23">SUM(R69:R75)</f>
        <v>1</v>
      </c>
      <c r="S76" s="89">
        <f t="shared" si="23"/>
        <v>0.99999999999999967</v>
      </c>
      <c r="T76" s="89">
        <f t="shared" si="23"/>
        <v>1</v>
      </c>
      <c r="U76" s="89">
        <f t="shared" si="23"/>
        <v>1</v>
      </c>
      <c r="V76" s="89">
        <f t="shared" si="23"/>
        <v>1</v>
      </c>
      <c r="W76" s="89">
        <f t="shared" si="23"/>
        <v>0.99999999999999978</v>
      </c>
      <c r="X76" s="89">
        <f t="shared" si="23"/>
        <v>1.0000000000000002</v>
      </c>
      <c r="Y76" s="89">
        <f t="shared" si="23"/>
        <v>1.0000000000000004</v>
      </c>
      <c r="Z76" s="89">
        <f t="shared" si="23"/>
        <v>1</v>
      </c>
      <c r="AA76" s="89">
        <f t="shared" si="23"/>
        <v>1.0000000000000002</v>
      </c>
      <c r="AB76" s="89">
        <f>SUM(AB69:AB75)</f>
        <v>0.99999999999999989</v>
      </c>
      <c r="AC76" s="33"/>
      <c r="AD76" s="33"/>
    </row>
    <row r="77" spans="2:30" ht="15" thickTop="1">
      <c r="B77" s="3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3"/>
      <c r="P77" s="24" t="s">
        <v>213</v>
      </c>
      <c r="Q77" s="20">
        <f>SUMPRODUCT(Q69:Q75,$AD$69:$AD$75)</f>
        <v>0.8196565093173398</v>
      </c>
      <c r="R77" s="20">
        <f t="shared" ref="R77:AB77" si="24">SUMPRODUCT(R69:R75,$AD$69:$AD$75)</f>
        <v>0.80599003656293344</v>
      </c>
      <c r="S77" s="20">
        <f t="shared" si="24"/>
        <v>0.83056940336753404</v>
      </c>
      <c r="T77" s="20">
        <f t="shared" si="24"/>
        <v>0.84822050872065902</v>
      </c>
      <c r="U77" s="20">
        <f t="shared" si="24"/>
        <v>0.75080813577880723</v>
      </c>
      <c r="V77" s="20">
        <f t="shared" si="24"/>
        <v>0.75395541656989506</v>
      </c>
      <c r="W77" s="20">
        <f t="shared" si="24"/>
        <v>0.76634836933616912</v>
      </c>
      <c r="X77" s="20">
        <f t="shared" si="24"/>
        <v>0.78544076065753676</v>
      </c>
      <c r="Y77" s="20">
        <f t="shared" si="24"/>
        <v>0.75742071566026226</v>
      </c>
      <c r="Z77" s="20">
        <f t="shared" si="24"/>
        <v>0.76009282612848728</v>
      </c>
      <c r="AA77" s="20">
        <f t="shared" si="24"/>
        <v>0.77565261738450553</v>
      </c>
      <c r="AB77" s="20">
        <f t="shared" si="24"/>
        <v>0.79258650369859773</v>
      </c>
      <c r="AC77" s="17"/>
      <c r="AD77" s="17"/>
    </row>
    <row r="78" spans="2:30">
      <c r="B78" s="14" t="s">
        <v>235</v>
      </c>
      <c r="C78" s="261">
        <v>11664.451410500002</v>
      </c>
      <c r="D78" s="261">
        <v>23328.902821000003</v>
      </c>
      <c r="E78" s="261">
        <v>46657.805642000007</v>
      </c>
      <c r="F78" s="261">
        <v>69986.708463000017</v>
      </c>
      <c r="G78" s="261">
        <v>23328.902821000003</v>
      </c>
      <c r="H78" s="261">
        <v>46657.805642000007</v>
      </c>
      <c r="I78" s="261">
        <v>93315.611284000013</v>
      </c>
      <c r="J78" s="261">
        <v>139973.41692600003</v>
      </c>
      <c r="K78" s="261">
        <v>116644.51410499998</v>
      </c>
      <c r="L78" s="261">
        <v>233289.02820999996</v>
      </c>
      <c r="M78" s="261">
        <v>466578.05641999992</v>
      </c>
      <c r="N78" s="261">
        <v>699867.08462999994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2:30" ht="15" thickBot="1">
      <c r="B79" s="14" t="s">
        <v>236</v>
      </c>
      <c r="C79" s="261">
        <v>1397.6756864953759</v>
      </c>
      <c r="D79" s="261">
        <v>2531.3625094419972</v>
      </c>
      <c r="E79" s="261">
        <v>5315.5883236465779</v>
      </c>
      <c r="F79" s="261">
        <v>8612.3350101789893</v>
      </c>
      <c r="G79" s="261">
        <v>3174.8199074118047</v>
      </c>
      <c r="H79" s="261">
        <v>6157.4713347158331</v>
      </c>
      <c r="I79" s="261">
        <v>12197.476868090176</v>
      </c>
      <c r="J79" s="261">
        <v>19262.376007554594</v>
      </c>
      <c r="K79" s="261">
        <v>15598.805560451648</v>
      </c>
      <c r="L79" s="261">
        <v>30517.22264322915</v>
      </c>
      <c r="M79" s="261">
        <v>55325.113064568679</v>
      </c>
      <c r="N79" s="261">
        <v>85648.41354602456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2:30" ht="15" thickBot="1">
      <c r="B80" s="15" t="s">
        <v>237</v>
      </c>
      <c r="C80" s="262">
        <v>119.82352511128201</v>
      </c>
      <c r="D80" s="262">
        <v>108.50756800972817</v>
      </c>
      <c r="E80" s="262">
        <v>113.92709645268098</v>
      </c>
      <c r="F80" s="262">
        <v>123.05672318811915</v>
      </c>
      <c r="G80" s="262">
        <v>136.08955087908907</v>
      </c>
      <c r="H80" s="262">
        <v>131.97087282589766</v>
      </c>
      <c r="I80" s="262">
        <v>130.71207164863279</v>
      </c>
      <c r="J80" s="262">
        <v>137.61453017709829</v>
      </c>
      <c r="K80" s="262">
        <v>133.72944008674131</v>
      </c>
      <c r="L80" s="262">
        <v>130.81293568490688</v>
      </c>
      <c r="M80" s="262">
        <v>118.57632887639841</v>
      </c>
      <c r="N80" s="262">
        <v>122.37811354037956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2:30" ht="15" thickTop="1">
      <c r="B81" s="42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2:30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2:30" s="3" customFormat="1" ht="15" thickBot="1">
      <c r="C83" s="326" t="s">
        <v>40</v>
      </c>
      <c r="D83" s="327"/>
      <c r="E83" s="327"/>
      <c r="F83" s="328"/>
      <c r="G83" s="326" t="s">
        <v>41</v>
      </c>
      <c r="H83" s="327"/>
      <c r="I83" s="327"/>
      <c r="J83" s="328"/>
      <c r="K83" s="326" t="s">
        <v>42</v>
      </c>
      <c r="L83" s="327"/>
      <c r="M83" s="327"/>
      <c r="N83" s="328"/>
      <c r="Q83" s="326" t="s">
        <v>40</v>
      </c>
      <c r="R83" s="327"/>
      <c r="S83" s="327"/>
      <c r="T83" s="328"/>
      <c r="U83" s="326" t="s">
        <v>41</v>
      </c>
      <c r="V83" s="327"/>
      <c r="W83" s="327"/>
      <c r="X83" s="328"/>
      <c r="Y83" s="326" t="s">
        <v>42</v>
      </c>
      <c r="Z83" s="327"/>
      <c r="AA83" s="327"/>
      <c r="AB83" s="328"/>
      <c r="AC83" s="353" t="s">
        <v>196</v>
      </c>
      <c r="AD83" s="354"/>
    </row>
    <row r="84" spans="2:30" ht="16.149999999999999" thickBot="1">
      <c r="B84" s="5" t="s">
        <v>57</v>
      </c>
      <c r="C84" s="28">
        <v>0.05</v>
      </c>
      <c r="D84" s="26">
        <v>0.1</v>
      </c>
      <c r="E84" s="26">
        <v>0.2</v>
      </c>
      <c r="F84" s="29">
        <v>0.3</v>
      </c>
      <c r="G84" s="28">
        <v>0.05</v>
      </c>
      <c r="H84" s="26">
        <v>0.1</v>
      </c>
      <c r="I84" s="26">
        <v>0.2</v>
      </c>
      <c r="J84" s="29">
        <v>0.3</v>
      </c>
      <c r="K84" s="28">
        <v>0.05</v>
      </c>
      <c r="L84" s="26">
        <v>0.1</v>
      </c>
      <c r="M84" s="26">
        <v>0.2</v>
      </c>
      <c r="N84" s="29">
        <v>0.3</v>
      </c>
      <c r="O84" s="3"/>
      <c r="P84" s="5" t="s">
        <v>57</v>
      </c>
      <c r="Q84" s="28">
        <v>0.05</v>
      </c>
      <c r="R84" s="26">
        <v>0.1</v>
      </c>
      <c r="S84" s="26">
        <v>0.2</v>
      </c>
      <c r="T84" s="29">
        <v>0.3</v>
      </c>
      <c r="U84" s="28">
        <v>0.05</v>
      </c>
      <c r="V84" s="26">
        <v>0.1</v>
      </c>
      <c r="W84" s="26">
        <v>0.2</v>
      </c>
      <c r="X84" s="29">
        <v>0.3</v>
      </c>
      <c r="Y84" s="28">
        <v>0.05</v>
      </c>
      <c r="Z84" s="26">
        <v>0.1</v>
      </c>
      <c r="AA84" s="26">
        <v>0.2</v>
      </c>
      <c r="AB84" s="29">
        <v>0.3</v>
      </c>
      <c r="AC84" s="355"/>
      <c r="AD84" s="356"/>
    </row>
    <row r="85" spans="2:30" ht="15" thickTop="1">
      <c r="B85" s="13" t="s">
        <v>218</v>
      </c>
      <c r="C85" s="79">
        <v>7.1745833333333344</v>
      </c>
      <c r="D85" s="79">
        <v>14.349166666666669</v>
      </c>
      <c r="E85" s="79">
        <v>28.698333333333338</v>
      </c>
      <c r="F85" s="79">
        <v>43.047499999999999</v>
      </c>
      <c r="G85" s="79">
        <v>14.349166666666669</v>
      </c>
      <c r="H85" s="79">
        <v>28.698333333333338</v>
      </c>
      <c r="I85" s="79">
        <v>57.396666666666675</v>
      </c>
      <c r="J85" s="79">
        <v>86.094999999999999</v>
      </c>
      <c r="K85" s="79">
        <v>71.745833333333337</v>
      </c>
      <c r="L85" s="79">
        <v>143.49166666666667</v>
      </c>
      <c r="M85" s="79">
        <v>286.98333333333335</v>
      </c>
      <c r="N85" s="79">
        <v>430.47500000000002</v>
      </c>
      <c r="O85" s="3"/>
      <c r="P85" s="13" t="s">
        <v>219</v>
      </c>
      <c r="Q85" s="30">
        <f t="shared" ref="Q85:AB91" si="25">C85/C$92</f>
        <v>1.6802036898515806E-2</v>
      </c>
      <c r="R85" s="30">
        <f t="shared" si="25"/>
        <v>1.4875090811579728E-2</v>
      </c>
      <c r="S85" s="30">
        <f t="shared" si="25"/>
        <v>1.4185013633241657E-2</v>
      </c>
      <c r="T85" s="30">
        <f t="shared" si="25"/>
        <v>9.3933681085495539E-3</v>
      </c>
      <c r="U85" s="30">
        <f t="shared" si="25"/>
        <v>1.7906937770229465E-2</v>
      </c>
      <c r="V85" s="30">
        <f t="shared" si="25"/>
        <v>1.5613255948896222E-2</v>
      </c>
      <c r="W85" s="30">
        <f t="shared" si="25"/>
        <v>1.4800439587778399E-2</v>
      </c>
      <c r="X85" s="30">
        <f t="shared" si="25"/>
        <v>9.6516712143811401E-3</v>
      </c>
      <c r="Y85" s="30">
        <f t="shared" si="25"/>
        <v>1.8996930008386065E-2</v>
      </c>
      <c r="Z85" s="30">
        <f t="shared" si="25"/>
        <v>1.6531788617388025E-2</v>
      </c>
      <c r="AA85" s="30">
        <f t="shared" si="25"/>
        <v>1.5667238905546447E-2</v>
      </c>
      <c r="AB85" s="30">
        <f t="shared" si="25"/>
        <v>1.0002419820361041E-2</v>
      </c>
      <c r="AC85" s="17" t="s">
        <v>151</v>
      </c>
      <c r="AD85" s="20">
        <f>VLOOKUP(AC85,$B$2:$C$7,2,FALSE)</f>
        <v>1.0113825191093386</v>
      </c>
    </row>
    <row r="86" spans="2:30">
      <c r="B86" s="13" t="s">
        <v>220</v>
      </c>
      <c r="C86" s="79">
        <v>144.6624228161088</v>
      </c>
      <c r="D86" s="79">
        <v>290.52966963221758</v>
      </c>
      <c r="E86" s="79">
        <v>563.49034206443537</v>
      </c>
      <c r="F86" s="79">
        <v>837.2311528966527</v>
      </c>
      <c r="G86" s="79">
        <v>275.14966963221758</v>
      </c>
      <c r="H86" s="79">
        <v>566.88526326443525</v>
      </c>
      <c r="I86" s="79">
        <v>1112.8075081288707</v>
      </c>
      <c r="J86" s="79">
        <v>1660.2871297933054</v>
      </c>
      <c r="K86" s="79">
        <v>1310.8789441610879</v>
      </c>
      <c r="L86" s="79">
        <v>2771.2888123221755</v>
      </c>
      <c r="M86" s="79">
        <v>5503.7108366443508</v>
      </c>
      <c r="N86" s="79">
        <v>8247.510144966529</v>
      </c>
      <c r="O86" s="3"/>
      <c r="P86" s="13" t="s">
        <v>221</v>
      </c>
      <c r="Q86" s="30">
        <f t="shared" si="25"/>
        <v>0.33878251224600098</v>
      </c>
      <c r="R86" s="30">
        <f t="shared" si="25"/>
        <v>0.3011781324748819</v>
      </c>
      <c r="S86" s="30">
        <f t="shared" si="25"/>
        <v>0.27852203441723744</v>
      </c>
      <c r="T86" s="30">
        <f t="shared" si="25"/>
        <v>0.1826916873477808</v>
      </c>
      <c r="U86" s="30">
        <f t="shared" si="25"/>
        <v>0.34337102119309942</v>
      </c>
      <c r="V86" s="30">
        <f t="shared" si="25"/>
        <v>0.30841249929746362</v>
      </c>
      <c r="W86" s="30">
        <f t="shared" si="25"/>
        <v>0.28695116377642549</v>
      </c>
      <c r="X86" s="30">
        <f t="shared" si="25"/>
        <v>0.18612631974253477</v>
      </c>
      <c r="Y86" s="30">
        <f t="shared" si="25"/>
        <v>0.34709577399424191</v>
      </c>
      <c r="Z86" s="30">
        <f t="shared" si="25"/>
        <v>0.31928237999681175</v>
      </c>
      <c r="AA86" s="30">
        <f t="shared" si="25"/>
        <v>0.3004632761882291</v>
      </c>
      <c r="AB86" s="30">
        <f t="shared" si="25"/>
        <v>0.19163728193888604</v>
      </c>
      <c r="AC86" s="17" t="s">
        <v>158</v>
      </c>
      <c r="AD86" s="20">
        <f>VLOOKUP(AC86,$B$2:$C$7,2,FALSE)</f>
        <v>0.56511234148053879</v>
      </c>
    </row>
    <row r="87" spans="2:30">
      <c r="B87" s="13" t="s">
        <v>222</v>
      </c>
      <c r="C87" s="79">
        <v>60.4831340064</v>
      </c>
      <c r="D87" s="79">
        <v>445.07851491280002</v>
      </c>
      <c r="E87" s="79">
        <v>1214.2692768255999</v>
      </c>
      <c r="F87" s="79">
        <v>1659.3477920384</v>
      </c>
      <c r="G87" s="79">
        <v>82.446768012799993</v>
      </c>
      <c r="H87" s="79">
        <v>813.11802992560001</v>
      </c>
      <c r="I87" s="79">
        <v>2274.4605540511998</v>
      </c>
      <c r="J87" s="79">
        <v>3087.5785830768</v>
      </c>
      <c r="K87" s="79">
        <v>258.15584006399996</v>
      </c>
      <c r="L87" s="79">
        <v>3629.0358161279996</v>
      </c>
      <c r="M87" s="79">
        <v>10370.795768256001</v>
      </c>
      <c r="N87" s="79">
        <v>13999.831580384</v>
      </c>
      <c r="O87" s="3"/>
      <c r="P87" s="13" t="s">
        <v>223</v>
      </c>
      <c r="Q87" s="30">
        <f t="shared" si="25"/>
        <v>0.14164444150950584</v>
      </c>
      <c r="R87" s="30">
        <f t="shared" si="25"/>
        <v>0.46139148575022532</v>
      </c>
      <c r="S87" s="30">
        <f t="shared" si="25"/>
        <v>0.60018907879194916</v>
      </c>
      <c r="T87" s="30">
        <f t="shared" si="25"/>
        <v>0.36208524608224929</v>
      </c>
      <c r="U87" s="30">
        <f t="shared" si="25"/>
        <v>0.10288884215076982</v>
      </c>
      <c r="V87" s="30">
        <f t="shared" si="25"/>
        <v>0.4423748156533126</v>
      </c>
      <c r="W87" s="30">
        <f t="shared" si="25"/>
        <v>0.58649775291863226</v>
      </c>
      <c r="X87" s="30">
        <f t="shared" si="25"/>
        <v>0.34613268287847215</v>
      </c>
      <c r="Y87" s="30">
        <f t="shared" si="25"/>
        <v>6.8354748939454063E-2</v>
      </c>
      <c r="Z87" s="30">
        <f t="shared" si="25"/>
        <v>0.41810409197160103</v>
      </c>
      <c r="AA87" s="30">
        <f t="shared" si="25"/>
        <v>0.56617132798152103</v>
      </c>
      <c r="AB87" s="30">
        <f t="shared" si="25"/>
        <v>0.32529692289064255</v>
      </c>
      <c r="AC87" s="17" t="s">
        <v>224</v>
      </c>
      <c r="AD87" s="20">
        <f>0.51*C5+0.49*C6</f>
        <v>0.78042148303894288</v>
      </c>
    </row>
    <row r="88" spans="2:30">
      <c r="B88" s="13" t="s">
        <v>225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  <c r="O88" s="3"/>
      <c r="P88" s="13" t="s">
        <v>226</v>
      </c>
      <c r="Q88" s="30">
        <f t="shared" si="25"/>
        <v>0</v>
      </c>
      <c r="R88" s="30">
        <f t="shared" si="25"/>
        <v>0</v>
      </c>
      <c r="S88" s="30">
        <f t="shared" si="25"/>
        <v>0</v>
      </c>
      <c r="T88" s="30">
        <f t="shared" si="25"/>
        <v>0</v>
      </c>
      <c r="U88" s="30">
        <f t="shared" si="25"/>
        <v>0</v>
      </c>
      <c r="V88" s="30">
        <f t="shared" si="25"/>
        <v>0</v>
      </c>
      <c r="W88" s="30">
        <f t="shared" si="25"/>
        <v>0</v>
      </c>
      <c r="X88" s="30">
        <f t="shared" si="25"/>
        <v>0</v>
      </c>
      <c r="Y88" s="30">
        <f t="shared" si="25"/>
        <v>0</v>
      </c>
      <c r="Z88" s="30">
        <f t="shared" si="25"/>
        <v>0</v>
      </c>
      <c r="AA88" s="30">
        <f t="shared" si="25"/>
        <v>0</v>
      </c>
      <c r="AB88" s="30">
        <f t="shared" si="25"/>
        <v>0</v>
      </c>
      <c r="AC88" s="17" t="s">
        <v>158</v>
      </c>
      <c r="AD88" s="20">
        <f>VLOOKUP(AC88,$B$2:$C$7,2,FALSE)</f>
        <v>0.56511234148053879</v>
      </c>
    </row>
    <row r="89" spans="2:30">
      <c r="B89" s="13" t="s">
        <v>227</v>
      </c>
      <c r="C89" s="79">
        <v>158.16283329999999</v>
      </c>
      <c r="D89" s="79">
        <v>158.16283329999999</v>
      </c>
      <c r="E89" s="79">
        <v>160.16283329999999</v>
      </c>
      <c r="F89" s="79">
        <v>161.16283329999999</v>
      </c>
      <c r="G89" s="79">
        <v>316.3256667</v>
      </c>
      <c r="H89" s="79">
        <v>316.3256667</v>
      </c>
      <c r="I89" s="79">
        <v>320.3256667</v>
      </c>
      <c r="J89" s="79">
        <v>322.3256667</v>
      </c>
      <c r="K89" s="79">
        <v>1581.6283330000001</v>
      </c>
      <c r="L89" s="79">
        <v>1581.6283330000001</v>
      </c>
      <c r="M89" s="79">
        <v>1601.6283330000001</v>
      </c>
      <c r="N89" s="79">
        <v>1611.6283330000001</v>
      </c>
      <c r="O89" s="3"/>
      <c r="P89" s="13" t="s">
        <v>228</v>
      </c>
      <c r="Q89" s="30">
        <f t="shared" si="25"/>
        <v>0.37039889811214177</v>
      </c>
      <c r="R89" s="30">
        <f t="shared" si="25"/>
        <v>0.16395980080289765</v>
      </c>
      <c r="S89" s="30">
        <f t="shared" si="25"/>
        <v>7.9165293242317566E-2</v>
      </c>
      <c r="T89" s="30">
        <f t="shared" si="25"/>
        <v>3.5167241270775494E-2</v>
      </c>
      <c r="U89" s="30">
        <f t="shared" si="25"/>
        <v>0.39475630608443557</v>
      </c>
      <c r="V89" s="30">
        <f t="shared" si="25"/>
        <v>0.17209618203353289</v>
      </c>
      <c r="W89" s="30">
        <f t="shared" si="25"/>
        <v>8.2599930514109784E-2</v>
      </c>
      <c r="X89" s="30">
        <f t="shared" si="25"/>
        <v>3.6134286067072419E-2</v>
      </c>
      <c r="Y89" s="30">
        <f t="shared" si="25"/>
        <v>0.41878505475971423</v>
      </c>
      <c r="Z89" s="30">
        <f t="shared" si="25"/>
        <v>0.18222065350434608</v>
      </c>
      <c r="AA89" s="30">
        <f t="shared" si="25"/>
        <v>8.7437460006979842E-2</v>
      </c>
      <c r="AB89" s="30">
        <f t="shared" si="25"/>
        <v>3.7447431746453631E-2</v>
      </c>
      <c r="AC89" s="17" t="s">
        <v>151</v>
      </c>
      <c r="AD89" s="20">
        <f>VLOOKUP(AC89,$B$2:$C$7,2,FALSE)</f>
        <v>1.0113825191093386</v>
      </c>
    </row>
    <row r="90" spans="2:30">
      <c r="B90" s="13" t="s">
        <v>229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3"/>
      <c r="P90" s="13" t="s">
        <v>230</v>
      </c>
      <c r="Q90" s="30">
        <f t="shared" si="25"/>
        <v>0</v>
      </c>
      <c r="R90" s="30">
        <f t="shared" si="25"/>
        <v>0</v>
      </c>
      <c r="S90" s="30">
        <f t="shared" si="25"/>
        <v>0</v>
      </c>
      <c r="T90" s="30">
        <f t="shared" si="25"/>
        <v>0</v>
      </c>
      <c r="U90" s="30">
        <f t="shared" si="25"/>
        <v>0</v>
      </c>
      <c r="V90" s="30">
        <f t="shared" si="25"/>
        <v>0</v>
      </c>
      <c r="W90" s="30">
        <f t="shared" si="25"/>
        <v>0</v>
      </c>
      <c r="X90" s="30">
        <f t="shared" si="25"/>
        <v>0</v>
      </c>
      <c r="Y90" s="30">
        <f t="shared" si="25"/>
        <v>0</v>
      </c>
      <c r="Z90" s="30">
        <f t="shared" si="25"/>
        <v>0</v>
      </c>
      <c r="AA90" s="30">
        <f t="shared" si="25"/>
        <v>0</v>
      </c>
      <c r="AB90" s="30">
        <f t="shared" si="25"/>
        <v>0</v>
      </c>
      <c r="AC90" s="17" t="s">
        <v>161</v>
      </c>
      <c r="AD90" s="20">
        <f>VLOOKUP(AC90,$B$2:$C$7,2,FALSE)</f>
        <v>1.0294771431332752</v>
      </c>
    </row>
    <row r="91" spans="2:30">
      <c r="B91" s="13" t="s">
        <v>231</v>
      </c>
      <c r="C91" s="79">
        <v>56.523786299999998</v>
      </c>
      <c r="D91" s="79">
        <v>56.523786299999998</v>
      </c>
      <c r="E91" s="79">
        <v>56.523786299999998</v>
      </c>
      <c r="F91" s="79">
        <v>1881.9652249999999</v>
      </c>
      <c r="G91" s="79">
        <v>113.0475726</v>
      </c>
      <c r="H91" s="79">
        <v>113.0475726</v>
      </c>
      <c r="I91" s="79">
        <v>113.0475726</v>
      </c>
      <c r="J91" s="79">
        <v>3763.9304499999998</v>
      </c>
      <c r="K91" s="79">
        <v>554.29777530000001</v>
      </c>
      <c r="L91" s="79">
        <v>554.29777530000001</v>
      </c>
      <c r="M91" s="79">
        <v>554.29777530000001</v>
      </c>
      <c r="N91" s="79">
        <v>18747.640739999999</v>
      </c>
      <c r="O91" s="3"/>
      <c r="P91" s="13" t="s">
        <v>232</v>
      </c>
      <c r="Q91" s="30">
        <f t="shared" si="25"/>
        <v>0.13237211123383547</v>
      </c>
      <c r="R91" s="30">
        <f t="shared" si="25"/>
        <v>5.8595490160415306E-2</v>
      </c>
      <c r="S91" s="30">
        <f t="shared" si="25"/>
        <v>2.7938579915254239E-2</v>
      </c>
      <c r="T91" s="30">
        <f t="shared" si="25"/>
        <v>0.41066245719064487</v>
      </c>
      <c r="U91" s="30">
        <f t="shared" si="25"/>
        <v>0.14107689280146563</v>
      </c>
      <c r="V91" s="30">
        <f t="shared" si="25"/>
        <v>6.1503247066794609E-2</v>
      </c>
      <c r="W91" s="30">
        <f t="shared" si="25"/>
        <v>2.9150713203054051E-2</v>
      </c>
      <c r="X91" s="30">
        <f t="shared" si="25"/>
        <v>0.42195504009753937</v>
      </c>
      <c r="Y91" s="30">
        <f t="shared" si="25"/>
        <v>0.14676749229820371</v>
      </c>
      <c r="Z91" s="30">
        <f t="shared" si="25"/>
        <v>6.3861085909853371E-2</v>
      </c>
      <c r="AA91" s="30">
        <f t="shared" si="25"/>
        <v>3.0260696917723453E-2</v>
      </c>
      <c r="AB91" s="30">
        <f t="shared" si="25"/>
        <v>0.43561594360365674</v>
      </c>
      <c r="AC91" s="17" t="s">
        <v>151</v>
      </c>
      <c r="AD91" s="20">
        <f>VLOOKUP(AC91,$B$2:$C$7,2,FALSE)</f>
        <v>1.0113825191093386</v>
      </c>
    </row>
    <row r="92" spans="2:30" ht="15" thickBot="1">
      <c r="B92" s="13" t="s">
        <v>233</v>
      </c>
      <c r="C92" s="79">
        <v>427.00675975584215</v>
      </c>
      <c r="D92" s="79">
        <v>964.64397081168431</v>
      </c>
      <c r="E92" s="79">
        <v>2023.1445718233686</v>
      </c>
      <c r="F92" s="79">
        <v>4582.7545032350527</v>
      </c>
      <c r="G92" s="79">
        <v>801.31884361168431</v>
      </c>
      <c r="H92" s="79">
        <v>1838.0748658233688</v>
      </c>
      <c r="I92" s="79">
        <v>3878.0379681467371</v>
      </c>
      <c r="J92" s="79">
        <v>8920.2168295701067</v>
      </c>
      <c r="K92" s="79">
        <v>3776.7067258584216</v>
      </c>
      <c r="L92" s="79">
        <v>8679.7424034168398</v>
      </c>
      <c r="M92" s="79">
        <v>18317.416046533686</v>
      </c>
      <c r="N92" s="79">
        <v>43037.085798350527</v>
      </c>
      <c r="O92" s="3"/>
      <c r="P92" s="31" t="s">
        <v>234</v>
      </c>
      <c r="Q92" s="89">
        <f>SUM(Q85:Q91)</f>
        <v>0.99999999999999978</v>
      </c>
      <c r="R92" s="89">
        <f t="shared" ref="R92:AB92" si="26">SUM(R85:R91)</f>
        <v>0.99999999999999989</v>
      </c>
      <c r="S92" s="89">
        <f t="shared" si="26"/>
        <v>1</v>
      </c>
      <c r="T92" s="89">
        <f t="shared" si="26"/>
        <v>1</v>
      </c>
      <c r="U92" s="89">
        <f t="shared" si="26"/>
        <v>0.99999999999999989</v>
      </c>
      <c r="V92" s="89">
        <f t="shared" si="26"/>
        <v>1</v>
      </c>
      <c r="W92" s="89">
        <f t="shared" si="26"/>
        <v>1</v>
      </c>
      <c r="X92" s="89">
        <f t="shared" si="26"/>
        <v>0.99999999999999978</v>
      </c>
      <c r="Y92" s="89">
        <f t="shared" si="26"/>
        <v>0.99999999999999989</v>
      </c>
      <c r="Z92" s="89">
        <f t="shared" si="26"/>
        <v>1.0000000000000002</v>
      </c>
      <c r="AA92" s="89">
        <f t="shared" si="26"/>
        <v>0.99999999999999989</v>
      </c>
      <c r="AB92" s="89">
        <f t="shared" si="26"/>
        <v>1</v>
      </c>
      <c r="AC92" s="33"/>
      <c r="AD92" s="33"/>
    </row>
    <row r="93" spans="2:30" ht="15" thickTop="1">
      <c r="B93" s="3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3"/>
      <c r="P93" s="24" t="s">
        <v>213</v>
      </c>
      <c r="Q93" s="20">
        <f>SUMPRODUCT(Q85:Q91,$AD$85:$AD$91)</f>
        <v>0.82747964022713649</v>
      </c>
      <c r="R93" s="20">
        <f t="shared" ref="R93:AB93" si="27">SUMPRODUCT(R85:R91,$AD$85:$AD$91)</f>
        <v>0.77041224484893156</v>
      </c>
      <c r="S93" s="20">
        <f t="shared" si="27"/>
        <v>0.74846614986049853</v>
      </c>
      <c r="T93" s="20">
        <f t="shared" si="27"/>
        <v>0.84622508376437877</v>
      </c>
      <c r="U93" s="20">
        <f t="shared" si="27"/>
        <v>0.83438295890568659</v>
      </c>
      <c r="V93" s="20">
        <f t="shared" si="27"/>
        <v>0.7715758725101779</v>
      </c>
      <c r="W93" s="20">
        <f t="shared" si="27"/>
        <v>0.74786664361299615</v>
      </c>
      <c r="X93" s="20">
        <f t="shared" si="27"/>
        <v>0.84837673028100502</v>
      </c>
      <c r="Y93" s="20">
        <f t="shared" si="27"/>
        <v>0.84069674275933437</v>
      </c>
      <c r="Z93" s="20">
        <f t="shared" si="27"/>
        <v>0.77233056040738268</v>
      </c>
      <c r="AA93" s="20">
        <f t="shared" si="27"/>
        <v>0.74653120296992237</v>
      </c>
      <c r="AB93" s="20">
        <f t="shared" si="27"/>
        <v>0.85072960091683714</v>
      </c>
      <c r="AC93" s="17"/>
      <c r="AD93" s="17"/>
    </row>
    <row r="94" spans="2:30">
      <c r="B94" s="14" t="s">
        <v>235</v>
      </c>
      <c r="C94" s="261">
        <v>3344.0609999999997</v>
      </c>
      <c r="D94" s="261">
        <v>6688.1219999999994</v>
      </c>
      <c r="E94" s="261">
        <v>13376.243999999999</v>
      </c>
      <c r="F94" s="261">
        <v>20064.365999999998</v>
      </c>
      <c r="G94" s="261">
        <v>6688.1219999999994</v>
      </c>
      <c r="H94" s="261">
        <v>13376.243999999999</v>
      </c>
      <c r="I94" s="261">
        <v>26752.487999999998</v>
      </c>
      <c r="J94" s="261">
        <v>40128.731999999996</v>
      </c>
      <c r="K94" s="261">
        <v>33440.61</v>
      </c>
      <c r="L94" s="261">
        <v>66881.22</v>
      </c>
      <c r="M94" s="261">
        <v>133762.44</v>
      </c>
      <c r="N94" s="261">
        <v>200643.66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2:30" ht="15" thickBot="1">
      <c r="B95" s="14" t="s">
        <v>236</v>
      </c>
      <c r="C95" s="79">
        <v>427.00675975584215</v>
      </c>
      <c r="D95" s="79">
        <v>964.64397081168431</v>
      </c>
      <c r="E95" s="79">
        <v>2023.1445718233686</v>
      </c>
      <c r="F95" s="79">
        <v>4582.7545032350527</v>
      </c>
      <c r="G95" s="79">
        <v>801.31884361168431</v>
      </c>
      <c r="H95" s="79">
        <v>1838.0748658233688</v>
      </c>
      <c r="I95" s="79">
        <v>3878.0379681467371</v>
      </c>
      <c r="J95" s="79">
        <v>8920.2168295701067</v>
      </c>
      <c r="K95" s="79">
        <v>3776.7067258584216</v>
      </c>
      <c r="L95" s="79">
        <v>8679.7424034168398</v>
      </c>
      <c r="M95" s="79">
        <v>18317.416046533686</v>
      </c>
      <c r="N95" s="79">
        <v>43037.085798350527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2:30" ht="15" thickBot="1">
      <c r="B96" s="15" t="s">
        <v>237</v>
      </c>
      <c r="C96" s="262">
        <v>127.69107972487409</v>
      </c>
      <c r="D96" s="262">
        <v>144.23241244876877</v>
      </c>
      <c r="E96" s="262">
        <v>151.24907797909253</v>
      </c>
      <c r="F96" s="262">
        <v>228.40265689108008</v>
      </c>
      <c r="G96" s="262">
        <v>119.81223482641082</v>
      </c>
      <c r="H96" s="262">
        <v>137.41337746406009</v>
      </c>
      <c r="I96" s="262">
        <v>144.9598993613879</v>
      </c>
      <c r="J96" s="262">
        <v>222.29002475259145</v>
      </c>
      <c r="K96" s="262">
        <v>112.93773426556578</v>
      </c>
      <c r="L96" s="262">
        <v>129.7784700012476</v>
      </c>
      <c r="M96" s="262">
        <v>136.93990664743919</v>
      </c>
      <c r="N96" s="262">
        <v>214.49511934915125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2:14" ht="15" thickTop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</sheetData>
  <mergeCells count="25">
    <mergeCell ref="G52:J52"/>
    <mergeCell ref="K52:N52"/>
    <mergeCell ref="B1:C1"/>
    <mergeCell ref="Q67:T67"/>
    <mergeCell ref="U67:X67"/>
    <mergeCell ref="Q52:T52"/>
    <mergeCell ref="U52:X52"/>
    <mergeCell ref="C52:F52"/>
    <mergeCell ref="Y67:AB67"/>
    <mergeCell ref="AC67:AD68"/>
    <mergeCell ref="C67:F67"/>
    <mergeCell ref="G67:J67"/>
    <mergeCell ref="K67:N67"/>
    <mergeCell ref="Y52:AB52"/>
    <mergeCell ref="AC52:AD53"/>
    <mergeCell ref="M10:N10"/>
    <mergeCell ref="M24:N24"/>
    <mergeCell ref="M38:N38"/>
    <mergeCell ref="Y83:AB83"/>
    <mergeCell ref="AC83:AD84"/>
    <mergeCell ref="C83:F83"/>
    <mergeCell ref="G83:J83"/>
    <mergeCell ref="K83:N83"/>
    <mergeCell ref="Q83:T83"/>
    <mergeCell ref="U83:X83"/>
  </mergeCells>
  <conditionalFormatting sqref="I46:L46">
    <cfRule type="cellIs" dxfId="5" priority="7" operator="notEqual">
      <formula>1</formula>
    </cfRule>
  </conditionalFormatting>
  <conditionalFormatting sqref="I32:L32">
    <cfRule type="cellIs" dxfId="4" priority="5" operator="notEqual">
      <formula>1</formula>
    </cfRule>
  </conditionalFormatting>
  <conditionalFormatting sqref="I18:L18">
    <cfRule type="cellIs" dxfId="3" priority="4" operator="notEqual">
      <formula>1</formula>
    </cfRule>
  </conditionalFormatting>
  <conditionalFormatting sqref="Q61:AB61">
    <cfRule type="cellIs" dxfId="2" priority="3" operator="notEqual">
      <formula>1</formula>
    </cfRule>
  </conditionalFormatting>
  <conditionalFormatting sqref="Q76:AB76">
    <cfRule type="cellIs" dxfId="1" priority="2" operator="notEqual">
      <formula>1</formula>
    </cfRule>
  </conditionalFormatting>
  <conditionalFormatting sqref="Q92:AB92">
    <cfRule type="cellIs" dxfId="0" priority="1" operator="notEqual">
      <formula>1</formula>
    </cfRule>
  </conditionalFormatting>
  <dataValidations count="1">
    <dataValidation type="list" allowBlank="1" showInputMessage="1" showErrorMessage="1" sqref="M11:M17 AC88:AC91 AC85:AC86 AC72:AC75 AC69:AC70 AC57:AC60 AC54:AC55 M39:M45 M25:M31" xr:uid="{33907039-CEB0-48CD-9817-0BE939004630}">
      <formula1>$B$2:$B$7</formula1>
    </dataValidation>
  </dataValidations>
  <pageMargins left="0.7" right="0.7" top="0.75" bottom="0.75" header="0.3" footer="0.3"/>
  <pageSetup orientation="portrait" r:id="rId1"/>
  <ignoredErrors>
    <ignoredError sqref="AD61" formulaRange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0F8DB-5A36-4363-A110-40FADE5EC45E}">
  <dimension ref="A2:S60"/>
  <sheetViews>
    <sheetView topLeftCell="A13" workbookViewId="0"/>
  </sheetViews>
  <sheetFormatPr defaultColWidth="11.5703125" defaultRowHeight="14.45"/>
  <cols>
    <col min="1" max="1" width="11.5703125" style="3"/>
    <col min="2" max="2" width="19" style="3" customWidth="1"/>
    <col min="3" max="3" width="13.85546875" style="3" bestFit="1" customWidth="1"/>
    <col min="4" max="4" width="11.140625" style="3" customWidth="1"/>
    <col min="5" max="7" width="8.42578125" style="3" bestFit="1" customWidth="1"/>
    <col min="8" max="8" width="5.85546875" style="3" customWidth="1"/>
    <col min="9" max="9" width="5.28515625" style="3" customWidth="1"/>
    <col min="10" max="10" width="8.42578125" style="3" bestFit="1" customWidth="1"/>
    <col min="11" max="11" width="6.5703125" style="3" customWidth="1"/>
    <col min="12" max="12" width="7.42578125" style="3" customWidth="1"/>
    <col min="13" max="13" width="6.42578125" style="3" customWidth="1"/>
    <col min="14" max="16" width="6.28515625" style="3" customWidth="1"/>
    <col min="17" max="18" width="11.5703125" style="3"/>
    <col min="19" max="19" width="19.140625" style="3" customWidth="1"/>
    <col min="20" max="20" width="11.42578125" style="3" bestFit="1" customWidth="1"/>
    <col min="21" max="21" width="3.28515625" style="3" bestFit="1" customWidth="1"/>
    <col min="22" max="24" width="4.28515625" style="3" bestFit="1" customWidth="1"/>
    <col min="25" max="25" width="3.28515625" style="3" bestFit="1" customWidth="1"/>
    <col min="26" max="28" width="4.28515625" style="3" bestFit="1" customWidth="1"/>
    <col min="29" max="29" width="3.28515625" style="3" bestFit="1" customWidth="1"/>
    <col min="30" max="32" width="4.28515625" style="3" bestFit="1" customWidth="1"/>
    <col min="33" max="16384" width="11.5703125" style="3"/>
  </cols>
  <sheetData>
    <row r="2" spans="2:4">
      <c r="B2" s="360" t="s">
        <v>238</v>
      </c>
      <c r="C2" s="280" t="s">
        <v>239</v>
      </c>
      <c r="D2" s="280" t="s">
        <v>239</v>
      </c>
    </row>
    <row r="3" spans="2:4">
      <c r="B3" s="361"/>
      <c r="C3" s="53">
        <v>43800</v>
      </c>
      <c r="D3" s="53">
        <f>Resultados!D6</f>
        <v>44166</v>
      </c>
    </row>
    <row r="4" spans="2:4">
      <c r="B4" s="46" t="s">
        <v>72</v>
      </c>
      <c r="C4" s="51">
        <f>'Ingreso Tarifas AT4.3'!I3+'Ingreso Tarifas AT4.3'!J3</f>
        <v>95.62</v>
      </c>
      <c r="D4" s="51" cm="1">
        <f t="array" ref="D4">INDEX('Ingreso Tarifas AT4.3'!K:XFD,3,MATCH(D3,'Ingreso Tarifas AT4.3'!K1:XFD1,0))+INDEX('Ingreso Tarifas AT4.3'!K:XFD,3,MATCH(D3,'Ingreso Tarifas AT4.3'!K1:XFD1,0)+1)</f>
        <v>95.62</v>
      </c>
    </row>
    <row r="5" spans="2:4">
      <c r="B5" s="46" t="s">
        <v>77</v>
      </c>
      <c r="C5" s="51">
        <f>'Ingreso Tarifas AT4.3'!I4+'Ingreso Tarifas AT4.3'!J4</f>
        <v>88.754000000000005</v>
      </c>
      <c r="D5" s="51" cm="1">
        <f t="array" ref="D5">INDEX('Ingreso Tarifas AT4.3'!K:XFD,4,MATCH(D3,'Ingreso Tarifas AT4.3'!K1:XFD1,0))+INDEX('Ingreso Tarifas AT4.3'!K:XFD,4,MATCH(D3,'Ingreso Tarifas AT4.3'!K1:XFD1,0)+1)</f>
        <v>88.754000000000005</v>
      </c>
    </row>
    <row r="6" spans="2:4">
      <c r="B6" s="46" t="s">
        <v>80</v>
      </c>
      <c r="C6" s="51">
        <f>'Ingreso Tarifas AT4.3'!I5+'Ingreso Tarifas AT4.3'!J5</f>
        <v>91.204999999999998</v>
      </c>
      <c r="D6" s="51" cm="1">
        <f t="array" ref="D6">INDEX('Ingreso Tarifas AT4.3'!K:XFD,5,MATCH(D3,'Ingreso Tarifas AT4.3'!K1:XFD1,0))+INDEX('Ingreso Tarifas AT4.3'!K:XFD,5,MATCH(D3,'Ingreso Tarifas AT4.3'!K1:XFD1,0)+1)</f>
        <v>91.204999999999998</v>
      </c>
    </row>
    <row r="7" spans="2:4">
      <c r="B7" s="46" t="s">
        <v>82</v>
      </c>
      <c r="C7" s="51">
        <f>'Ingreso Tarifas AT4.3'!I6+'Ingreso Tarifas AT4.3'!J6</f>
        <v>102.21899999999999</v>
      </c>
      <c r="D7" s="51" cm="1">
        <f t="array" ref="D7">INDEX('Ingreso Tarifas AT4.3'!K:XFD,6,MATCH(D3,'Ingreso Tarifas AT4.3'!K1:XFD1,0))+INDEX('Ingreso Tarifas AT4.3'!K:XFD,6,MATCH(D3,'Ingreso Tarifas AT4.3'!K1:XFD1,0)+1)</f>
        <v>102.21899999999999</v>
      </c>
    </row>
    <row r="8" spans="2:4">
      <c r="B8" s="46" t="s">
        <v>86</v>
      </c>
      <c r="C8" s="51">
        <f>'Ingreso Tarifas AT4.3'!I7+'Ingreso Tarifas AT4.3'!J7</f>
        <v>106.974</v>
      </c>
      <c r="D8" s="51" cm="1">
        <f t="array" ref="D8">INDEX('Ingreso Tarifas AT4.3'!K:XFD,7,MATCH(D3,'Ingreso Tarifas AT4.3'!K1:XFD1,0))+INDEX('Ingreso Tarifas AT4.3'!K:XFD,7,MATCH(D3,'Ingreso Tarifas AT4.3'!K1:XFD1,0)+1)</f>
        <v>106.974</v>
      </c>
    </row>
    <row r="9" spans="2:4">
      <c r="B9" s="46" t="s">
        <v>89</v>
      </c>
      <c r="C9" s="51">
        <f>'Ingreso Tarifas AT4.3'!I8+'Ingreso Tarifas AT4.3'!J8</f>
        <v>84.67</v>
      </c>
      <c r="D9" s="51" cm="1">
        <f t="array" ref="D9">INDEX('Ingreso Tarifas AT4.3'!K:XFD,8,MATCH(D3,'Ingreso Tarifas AT4.3'!K1:XFD1,0))+INDEX('Ingreso Tarifas AT4.3'!K:XFD,8,MATCH(D3,'Ingreso Tarifas AT4.3'!K1:XFD1,0)+1)</f>
        <v>84.67</v>
      </c>
    </row>
    <row r="10" spans="2:4">
      <c r="B10" s="46" t="s">
        <v>94</v>
      </c>
      <c r="C10" s="51">
        <f>'Ingreso Tarifas AT4.3'!I9+'Ingreso Tarifas AT4.3'!J9</f>
        <v>102.61799999999999</v>
      </c>
      <c r="D10" s="51" cm="1">
        <f t="array" ref="D10">INDEX('Ingreso Tarifas AT4.3'!K:XFD,9,MATCH(D3,'Ingreso Tarifas AT4.3'!K1:XFD1,0))+INDEX('Ingreso Tarifas AT4.3'!K:XFD,9,MATCH(D3,'Ingreso Tarifas AT4.3'!K1:XFD1,0)+1)</f>
        <v>102.61799999999999</v>
      </c>
    </row>
    <row r="11" spans="2:4">
      <c r="B11" s="46" t="s">
        <v>98</v>
      </c>
      <c r="C11" s="51">
        <f>'Ingreso Tarifas AT4.3'!I10+'Ingreso Tarifas AT4.3'!J10</f>
        <v>101.608</v>
      </c>
      <c r="D11" s="51" cm="1">
        <f t="array" ref="D11">INDEX('Ingreso Tarifas AT4.3'!K:XFD,10,MATCH(D3,'Ingreso Tarifas AT4.3'!K1:XFD1,0))+INDEX('Ingreso Tarifas AT4.3'!K:XFD,10,MATCH(D3,'Ingreso Tarifas AT4.3'!K1:XFD1,0)+1)</f>
        <v>101.608</v>
      </c>
    </row>
    <row r="12" spans="2:4">
      <c r="B12" s="46" t="s">
        <v>102</v>
      </c>
      <c r="C12" s="51">
        <f>'Ingreso Tarifas AT4.3'!I11+'Ingreso Tarifas AT4.3'!J11</f>
        <v>101.614</v>
      </c>
      <c r="D12" s="51" cm="1">
        <f t="array" ref="D12">INDEX('Ingreso Tarifas AT4.3'!K:XFD,11,MATCH(D3,'Ingreso Tarifas AT4.3'!K1:XFD1,0))+INDEX('Ingreso Tarifas AT4.3'!K:XFD,11,MATCH(D3,'Ingreso Tarifas AT4.3'!K1:XFD1,0)+1)</f>
        <v>101.614</v>
      </c>
    </row>
    <row r="13" spans="2:4">
      <c r="B13" s="46" t="s">
        <v>105</v>
      </c>
      <c r="C13" s="51">
        <f>'Ingreso Tarifas AT4.3'!I12+'Ingreso Tarifas AT4.3'!J12</f>
        <v>101.607</v>
      </c>
      <c r="D13" s="51" cm="1">
        <f t="array" ref="D13">INDEX('Ingreso Tarifas AT4.3'!K:XFD,12,MATCH(D3,'Ingreso Tarifas AT4.3'!K1:XFD1,0))+INDEX('Ingreso Tarifas AT4.3'!K:XFD,12,MATCH(D3,'Ingreso Tarifas AT4.3'!K1:XFD1,0)+1)</f>
        <v>101.607</v>
      </c>
    </row>
    <row r="14" spans="2:4">
      <c r="B14" s="46" t="s">
        <v>108</v>
      </c>
      <c r="C14" s="51">
        <f>'Ingreso Tarifas AT4.3'!I13+'Ingreso Tarifas AT4.3'!J13</f>
        <v>101.614</v>
      </c>
      <c r="D14" s="51" cm="1">
        <f t="array" ref="D14">INDEX('Ingreso Tarifas AT4.3'!K:XFD,13,MATCH(D3,'Ingreso Tarifas AT4.3'!K1:XFD1,0))+INDEX('Ingreso Tarifas AT4.3'!K:XFD,13,MATCH(D3,'Ingreso Tarifas AT4.3'!K1:XFD1,0)+1)</f>
        <v>101.614</v>
      </c>
    </row>
    <row r="15" spans="2:4">
      <c r="B15" s="46" t="s">
        <v>111</v>
      </c>
      <c r="C15" s="51">
        <f>'Ingreso Tarifas AT4.3'!I14+'Ingreso Tarifas AT4.3'!J14</f>
        <v>96.121000000000009</v>
      </c>
      <c r="D15" s="51" cm="1">
        <f t="array" ref="D15">INDEX('Ingreso Tarifas AT4.3'!K:XFD,14,MATCH(D3,'Ingreso Tarifas AT4.3'!K1:XFD1,0))+INDEX('Ingreso Tarifas AT4.3'!K:XFD,14,MATCH(D3,'Ingreso Tarifas AT4.3'!K1:XFD1,0)+1)</f>
        <v>96.121000000000009</v>
      </c>
    </row>
    <row r="16" spans="2:4">
      <c r="B16" s="46" t="s">
        <v>116</v>
      </c>
      <c r="C16" s="51">
        <f>'Ingreso Tarifas AT4.3'!I15+'Ingreso Tarifas AT4.3'!J15</f>
        <v>96.097999999999999</v>
      </c>
      <c r="D16" s="51" cm="1">
        <f t="array" ref="D16">INDEX('Ingreso Tarifas AT4.3'!K:XFD,15,MATCH(D3,'Ingreso Tarifas AT4.3'!K1:XFD1,0))+INDEX('Ingreso Tarifas AT4.3'!K:XFD,15,MATCH(D3,'Ingreso Tarifas AT4.3'!K1:XFD1,0)+1)</f>
        <v>96.097999999999999</v>
      </c>
    </row>
    <row r="17" spans="2:16">
      <c r="B17" s="46" t="s">
        <v>118</v>
      </c>
      <c r="C17" s="51">
        <f>'Ingreso Tarifas AT4.3'!I16+'Ingreso Tarifas AT4.3'!J16</f>
        <v>82.894000000000005</v>
      </c>
      <c r="D17" s="51" cm="1">
        <f t="array" ref="D17">INDEX('Ingreso Tarifas AT4.3'!K:XFD,16,MATCH(D3,'Ingreso Tarifas AT4.3'!K1:XFD1,0))+INDEX('Ingreso Tarifas AT4.3'!K:XFD,16,MATCH(D3,'Ingreso Tarifas AT4.3'!K1:XFD1,0)+1)</f>
        <v>82.894000000000005</v>
      </c>
    </row>
    <row r="18" spans="2:16">
      <c r="B18" s="46" t="s">
        <v>124</v>
      </c>
      <c r="C18" s="51">
        <f>'Ingreso Tarifas AT4.3'!I17+'Ingreso Tarifas AT4.3'!J17</f>
        <v>65.570999999999998</v>
      </c>
      <c r="D18" s="51" cm="1">
        <f t="array" ref="D18">INDEX('Ingreso Tarifas AT4.3'!K:XFD,17,MATCH(D3,'Ingreso Tarifas AT4.3'!K1:XFD1,0))+INDEX('Ingreso Tarifas AT4.3'!K:XFD,17,MATCH(D3,'Ingreso Tarifas AT4.3'!K1:XFD1,0)+1)</f>
        <v>65.570999999999998</v>
      </c>
    </row>
    <row r="19" spans="2:16" ht="16.5" customHeight="1">
      <c r="B19" s="52" t="s">
        <v>128</v>
      </c>
      <c r="C19" s="51">
        <f>'Ingreso Tarifas AT4.3'!I18+'Ingreso Tarifas AT4.3'!J18</f>
        <v>73.766999999999996</v>
      </c>
      <c r="D19" s="51" cm="1">
        <f t="array" ref="D19">INDEX('Ingreso Tarifas AT4.3'!K:XFD,18,MATCH(D3,'Ingreso Tarifas AT4.3'!K1:XFD1,0))+INDEX('Ingreso Tarifas AT4.3'!K:XFD,18,MATCH(D3,'Ingreso Tarifas AT4.3'!K1:XFD1,0)+1)</f>
        <v>73.766999999999996</v>
      </c>
    </row>
    <row r="21" spans="2:16">
      <c r="B21" s="362" t="s">
        <v>240</v>
      </c>
      <c r="C21" s="362"/>
      <c r="D21" s="362"/>
      <c r="E21" s="362"/>
    </row>
    <row r="22" spans="2:16">
      <c r="B22" s="280" t="s">
        <v>43</v>
      </c>
      <c r="C22" s="58">
        <f>SUMPRODUCT('Ingreso Tarifas AT4.3'!$D$3:$D$15,'Econométrico Comercio'!C4:C16)</f>
        <v>95.86857326761185</v>
      </c>
      <c r="D22" s="58">
        <f>SUMPRODUCT('Ingreso Tarifas AT4.3'!$D$3:$D$15,'Econométrico Comercio'!D4:D16)</f>
        <v>95.86857326761185</v>
      </c>
      <c r="E22" s="65">
        <f>D22/C22</f>
        <v>1</v>
      </c>
    </row>
    <row r="23" spans="2:16">
      <c r="B23" s="280" t="s">
        <v>118</v>
      </c>
      <c r="C23" s="58">
        <f>C17</f>
        <v>82.894000000000005</v>
      </c>
      <c r="D23" s="58">
        <f>D17</f>
        <v>82.894000000000005</v>
      </c>
      <c r="E23" s="65">
        <f t="shared" ref="E23:E25" si="0">D23/C23</f>
        <v>1</v>
      </c>
    </row>
    <row r="24" spans="2:16">
      <c r="B24" s="280" t="s">
        <v>124</v>
      </c>
      <c r="C24" s="58">
        <f t="shared" ref="C24:D24" si="1">C18</f>
        <v>65.570999999999998</v>
      </c>
      <c r="D24" s="58">
        <f t="shared" si="1"/>
        <v>65.570999999999998</v>
      </c>
      <c r="E24" s="65">
        <f t="shared" si="0"/>
        <v>1</v>
      </c>
    </row>
    <row r="25" spans="2:16" ht="27.6">
      <c r="B25" s="280" t="s">
        <v>128</v>
      </c>
      <c r="C25" s="58">
        <f t="shared" ref="C25:D25" si="2">C19</f>
        <v>73.766999999999996</v>
      </c>
      <c r="D25" s="58">
        <f t="shared" si="2"/>
        <v>73.766999999999996</v>
      </c>
      <c r="E25" s="65">
        <f t="shared" si="0"/>
        <v>1</v>
      </c>
    </row>
    <row r="27" spans="2:16">
      <c r="C27" s="280" t="s">
        <v>241</v>
      </c>
      <c r="D27" s="280" t="s">
        <v>242</v>
      </c>
      <c r="E27" s="280" t="s">
        <v>243</v>
      </c>
      <c r="F27" s="280" t="s">
        <v>244</v>
      </c>
      <c r="G27" s="280" t="s">
        <v>245</v>
      </c>
    </row>
    <row r="28" spans="2:16">
      <c r="C28" s="280" t="s">
        <v>246</v>
      </c>
      <c r="D28" s="49">
        <v>-0.43620864414595001</v>
      </c>
      <c r="E28" s="49">
        <v>-0.33120396615794301</v>
      </c>
      <c r="F28" s="49">
        <v>-5.62411084081305E-2</v>
      </c>
      <c r="G28" s="49">
        <v>-0.22612758256892701</v>
      </c>
    </row>
    <row r="29" spans="2:16">
      <c r="C29" s="280" t="s">
        <v>247</v>
      </c>
      <c r="D29" s="50">
        <v>-0.60216508267822333</v>
      </c>
      <c r="E29" s="50">
        <v>-0.50103370569199335</v>
      </c>
      <c r="F29" s="50">
        <v>-0.1090492677516883</v>
      </c>
      <c r="G29" s="50">
        <v>-0.32632240304804389</v>
      </c>
    </row>
    <row r="30" spans="2:16">
      <c r="C30" s="280" t="s">
        <v>248</v>
      </c>
      <c r="D30" s="49">
        <v>-0.70395801464105556</v>
      </c>
      <c r="E30" s="49">
        <v>-0.67809620882491639</v>
      </c>
      <c r="F30" s="49">
        <v>-0.39866857832124031</v>
      </c>
      <c r="G30" s="49">
        <v>-0.63504388873489626</v>
      </c>
    </row>
    <row r="32" spans="2:16">
      <c r="B32" s="363" t="s">
        <v>249</v>
      </c>
      <c r="C32" s="364"/>
      <c r="D32" s="363" t="s">
        <v>250</v>
      </c>
      <c r="E32" s="365"/>
      <c r="F32" s="365"/>
      <c r="G32" s="365"/>
      <c r="H32" s="366"/>
      <c r="I32" s="367" t="s">
        <v>251</v>
      </c>
      <c r="J32" s="365"/>
      <c r="K32" s="365"/>
      <c r="L32" s="366"/>
      <c r="M32" s="367" t="s">
        <v>252</v>
      </c>
      <c r="N32" s="365"/>
      <c r="O32" s="365"/>
      <c r="P32" s="366"/>
    </row>
    <row r="33" spans="1:19">
      <c r="A33" s="25"/>
      <c r="B33" s="77" t="s">
        <v>165</v>
      </c>
      <c r="C33" s="77" t="s">
        <v>253</v>
      </c>
      <c r="D33" s="77" t="s">
        <v>254</v>
      </c>
      <c r="E33" s="77">
        <v>0.05</v>
      </c>
      <c r="F33" s="77">
        <v>0.1</v>
      </c>
      <c r="G33" s="77">
        <v>0.2</v>
      </c>
      <c r="H33" s="77">
        <v>0.3</v>
      </c>
      <c r="I33" s="77">
        <v>0.05</v>
      </c>
      <c r="J33" s="77">
        <v>0.1</v>
      </c>
      <c r="K33" s="77">
        <v>0.2</v>
      </c>
      <c r="L33" s="77">
        <v>0.3</v>
      </c>
      <c r="M33" s="77">
        <v>0.05</v>
      </c>
      <c r="N33" s="77">
        <v>0.1</v>
      </c>
      <c r="O33" s="77">
        <v>0.2</v>
      </c>
      <c r="P33" s="77">
        <v>0.3</v>
      </c>
      <c r="Q33" s="47"/>
    </row>
    <row r="34" spans="1:19">
      <c r="B34" s="46" t="s">
        <v>72</v>
      </c>
      <c r="C34" s="63">
        <v>109.99791428571429</v>
      </c>
      <c r="D34" s="63">
        <f>C34*(1-0.5/$D$28)</f>
        <v>236.08197493182834</v>
      </c>
      <c r="E34" s="63">
        <f>C34*(1-$E$33/(2*$D$28))</f>
        <v>116.30211731802</v>
      </c>
      <c r="F34" s="63">
        <f>C34*(1-$F$33/(2*$D$28))</f>
        <v>122.60632035032569</v>
      </c>
      <c r="G34" s="63">
        <f>C34*(1-$G$33/(2*$D$28))</f>
        <v>135.2147264149371</v>
      </c>
      <c r="H34" s="63">
        <f>C34*(1-$H$33/(2*$D$28))</f>
        <v>147.82313247954849</v>
      </c>
      <c r="I34" s="63">
        <f>C34*(1-$I$33/(2*$D$29))</f>
        <v>114.5646816660347</v>
      </c>
      <c r="J34" s="63">
        <f>C34*(1-$J$33/(2*$D$29))</f>
        <v>119.13144904635513</v>
      </c>
      <c r="K34" s="63">
        <f>C34*(1-$K$33/(2*$D$29))</f>
        <v>128.26498380699596</v>
      </c>
      <c r="L34" s="63">
        <f>C34*(1-$L$33/(2*$D$29))</f>
        <v>137.39851856763678</v>
      </c>
      <c r="M34" s="63">
        <f>C34*(1-$M$33/(2*$D$30))</f>
        <v>113.90432319071843</v>
      </c>
      <c r="N34" s="63">
        <f>C34*(1-$N$33/(2*$D$30))</f>
        <v>117.81073209572259</v>
      </c>
      <c r="O34" s="63">
        <f>C34*(1-$O$33/(2*$D$30))</f>
        <v>125.62354990573087</v>
      </c>
      <c r="P34" s="63">
        <f>C34*(1-$P$33/(2*$D$30))</f>
        <v>133.43636771573915</v>
      </c>
      <c r="Q34" s="47"/>
    </row>
    <row r="35" spans="1:19">
      <c r="B35" s="46" t="s">
        <v>77</v>
      </c>
      <c r="C35" s="63">
        <v>107.03740000000001</v>
      </c>
      <c r="D35" s="63">
        <f>C35*(1-0.5/$D$28)</f>
        <v>229.72799936852905</v>
      </c>
      <c r="E35" s="63">
        <f>C35*(1-$E$33/(2*$D$28))</f>
        <v>113.17192996842647</v>
      </c>
      <c r="F35" s="63">
        <f>C35*(1-$F$33/(2*$D$28))</f>
        <v>119.3064599368529</v>
      </c>
      <c r="G35" s="63">
        <f>C35*(1-$G$33/(2*$D$28))</f>
        <v>131.57551987370582</v>
      </c>
      <c r="H35" s="63">
        <f>C35*(1-$H$33/(2*$D$28))</f>
        <v>143.84457981055871</v>
      </c>
      <c r="I35" s="63">
        <f>C35*(1-$I$33/(2*$D$29))</f>
        <v>111.48125614007768</v>
      </c>
      <c r="J35" s="63">
        <f>C35*(1-$J$33/(2*$D$29))</f>
        <v>115.92511228015535</v>
      </c>
      <c r="K35" s="63">
        <f>C35*(1-$K$33/(2*$D$29))</f>
        <v>124.81282456031067</v>
      </c>
      <c r="L35" s="63">
        <f>C35*(1-$L$33/(2*$D$29))</f>
        <v>133.70053684046601</v>
      </c>
      <c r="M35" s="63">
        <f>C35*(1-$M$33/(2*$D$30))</f>
        <v>110.83867073539243</v>
      </c>
      <c r="N35" s="63">
        <f>C35*(1-$N$33/(2*$D$30))</f>
        <v>114.63994147078488</v>
      </c>
      <c r="O35" s="63">
        <f>C35*(1-$O$33/(2*$D$30))</f>
        <v>122.24248294156972</v>
      </c>
      <c r="P35" s="63">
        <f>C35*(1-$P$33/(2*$D$30))</f>
        <v>129.8450244123546</v>
      </c>
      <c r="Q35" s="47"/>
    </row>
    <row r="36" spans="1:19">
      <c r="B36" s="46" t="s">
        <v>80</v>
      </c>
      <c r="C36" s="63">
        <v>108.48314285714285</v>
      </c>
      <c r="D36" s="63">
        <f>C36*(1-0.5/$D$28)</f>
        <v>232.83091119348711</v>
      </c>
      <c r="E36" s="63">
        <f>C36*(1-$E$33/(2*$D$28))</f>
        <v>114.70053127396007</v>
      </c>
      <c r="F36" s="63">
        <f>C36*(1-$F$33/(2*$D$28))</f>
        <v>120.91791969077727</v>
      </c>
      <c r="G36" s="63">
        <f>C36*(1-$G$33/(2*$D$28))</f>
        <v>133.3526965244117</v>
      </c>
      <c r="H36" s="63">
        <f>C36*(1-$H$33/(2*$D$28))</f>
        <v>145.78747335804613</v>
      </c>
      <c r="I36" s="63">
        <f>C36*(1-$I$33/(2*$D$29))</f>
        <v>112.98702169277075</v>
      </c>
      <c r="J36" s="63">
        <f>C36*(1-$J$33/(2*$D$29))</f>
        <v>117.49090052839865</v>
      </c>
      <c r="K36" s="63">
        <f>C36*(1-$K$33/(2*$D$29))</f>
        <v>126.49865819965441</v>
      </c>
      <c r="L36" s="63">
        <f>C36*(1-$L$33/(2*$D$29))</f>
        <v>135.50641587091022</v>
      </c>
      <c r="M36" s="63">
        <f>C36*(1-$M$33/(2*$D$30))</f>
        <v>112.33575695489048</v>
      </c>
      <c r="N36" s="63">
        <f>C36*(1-$N$33/(2*$D$30))</f>
        <v>116.18837105263815</v>
      </c>
      <c r="O36" s="63">
        <f>C36*(1-$O$33/(2*$D$30))</f>
        <v>123.89359924813341</v>
      </c>
      <c r="P36" s="63">
        <f>C36*(1-$P$33/(2*$D$30))</f>
        <v>131.59882744362872</v>
      </c>
      <c r="Q36" s="47"/>
    </row>
    <row r="37" spans="1:19">
      <c r="B37" s="46" t="s">
        <v>82</v>
      </c>
      <c r="C37" s="63">
        <v>121.23168571428572</v>
      </c>
      <c r="D37" s="63">
        <f>C37*(1-0.5/$D$28)</f>
        <v>260.19234976949309</v>
      </c>
      <c r="E37" s="63">
        <f>C37*(1-$E$33/(2*$D$28))</f>
        <v>128.1797189170461</v>
      </c>
      <c r="F37" s="63">
        <f>C37*(1-$F$33/(2*$D$28))</f>
        <v>135.12775211980644</v>
      </c>
      <c r="G37" s="63">
        <f>C37*(1-$G$33/(2*$D$28))</f>
        <v>149.02381852532719</v>
      </c>
      <c r="H37" s="63">
        <f>C37*(1-$H$33/(2*$D$28))</f>
        <v>162.91988493084793</v>
      </c>
      <c r="I37" s="63">
        <f>C37*(1-$I$33/(2*$D$29))</f>
        <v>126.26484394620648</v>
      </c>
      <c r="J37" s="63">
        <f>C37*(1-$J$33/(2*$D$29))</f>
        <v>131.29800217812723</v>
      </c>
      <c r="K37" s="63">
        <f>C37*(1-$K$33/(2*$D$29))</f>
        <v>141.36431864196874</v>
      </c>
      <c r="L37" s="63">
        <f>C37*(1-$L$33/(2*$D$29))</f>
        <v>151.43063510581027</v>
      </c>
      <c r="M37" s="63">
        <f>C37*(1-$M$33/(2*$D$30))</f>
        <v>125.53704495421499</v>
      </c>
      <c r="N37" s="63">
        <f>C37*(1-$N$33/(2*$D$30))</f>
        <v>129.84240419414431</v>
      </c>
      <c r="O37" s="63">
        <f>C37*(1-$O$33/(2*$D$30))</f>
        <v>138.45312267400286</v>
      </c>
      <c r="P37" s="63">
        <f>C37*(1-$P$33/(2*$D$30))</f>
        <v>147.06384115386143</v>
      </c>
      <c r="Q37" s="47"/>
    </row>
    <row r="38" spans="1:19">
      <c r="B38" s="46" t="s">
        <v>86</v>
      </c>
      <c r="C38" s="63">
        <v>128.17185714285714</v>
      </c>
      <c r="D38" s="63">
        <f t="shared" ref="D38:D43" si="3">C38*(1-0.5/$E$28)</f>
        <v>321.66570117752536</v>
      </c>
      <c r="E38" s="63">
        <f t="shared" ref="E38:E43" si="4">C38*(1-$E$33/(2*$E$28))</f>
        <v>137.84654934459056</v>
      </c>
      <c r="F38" s="63">
        <f t="shared" ref="F38:F43" si="5">C38*(1-$F$33/(2*$E$28))</f>
        <v>147.52124154632398</v>
      </c>
      <c r="G38" s="63">
        <f t="shared" ref="G38:G43" si="6">C38*(1-$G$33/(2*$E$28))</f>
        <v>166.87062594979079</v>
      </c>
      <c r="H38" s="63">
        <f t="shared" ref="H38:H43" si="7">C38*(1-$H$33/(2*$E$28))</f>
        <v>186.22001035325761</v>
      </c>
      <c r="I38" s="63">
        <f t="shared" ref="I38:I43" si="8">C38*(1-$I$33/(2*$E$29))</f>
        <v>134.56722813720145</v>
      </c>
      <c r="J38" s="63">
        <f t="shared" ref="J38:J43" si="9">C38*(1-$J$33/(2*$E$29))</f>
        <v>140.9625991315458</v>
      </c>
      <c r="K38" s="63">
        <f t="shared" ref="K38:K43" si="10">C38*(1-$K$33/(2*$E$29))</f>
        <v>153.75334112023447</v>
      </c>
      <c r="L38" s="63">
        <f t="shared" ref="L38:L43" si="11">C38*(1-$L$33/(2*$E$29))</f>
        <v>166.5440831089231</v>
      </c>
      <c r="M38" s="63">
        <f t="shared" ref="M38:M43" si="12">C38*(1-$M$33/(2*$E$30))</f>
        <v>132.89728752702666</v>
      </c>
      <c r="N38" s="63">
        <f t="shared" ref="N38:N43" si="13">C38*(1-$N$33/(2*$E$30))</f>
        <v>137.62271791119622</v>
      </c>
      <c r="O38" s="63">
        <f t="shared" ref="O38:O43" si="14">C38*(1-$O$33/(2*$E$30))</f>
        <v>147.07357867953527</v>
      </c>
      <c r="P38" s="63">
        <f t="shared" ref="P38:P43" si="15">C38*(1-$P$33/(2*$E$30))</f>
        <v>156.52443944787436</v>
      </c>
      <c r="Q38" s="47"/>
      <c r="S38" s="3" t="s">
        <v>255</v>
      </c>
    </row>
    <row r="39" spans="1:19">
      <c r="B39" s="46" t="s">
        <v>89</v>
      </c>
      <c r="C39" s="63">
        <v>100.52748571428572</v>
      </c>
      <c r="D39" s="63">
        <f t="shared" si="3"/>
        <v>252.28817698926071</v>
      </c>
      <c r="E39" s="63">
        <f t="shared" si="4"/>
        <v>108.11552027803447</v>
      </c>
      <c r="F39" s="63">
        <f t="shared" si="5"/>
        <v>115.70355484178323</v>
      </c>
      <c r="G39" s="63">
        <f t="shared" si="6"/>
        <v>130.87962396928074</v>
      </c>
      <c r="H39" s="63">
        <f t="shared" si="7"/>
        <v>146.05569309677821</v>
      </c>
      <c r="I39" s="63">
        <f t="shared" si="8"/>
        <v>105.54348985593542</v>
      </c>
      <c r="J39" s="63">
        <f t="shared" si="9"/>
        <v>110.55949399758515</v>
      </c>
      <c r="K39" s="63">
        <f t="shared" si="10"/>
        <v>120.59150228088458</v>
      </c>
      <c r="L39" s="63">
        <f t="shared" si="11"/>
        <v>130.62351056418399</v>
      </c>
      <c r="M39" s="63">
        <f t="shared" si="12"/>
        <v>104.23372549287448</v>
      </c>
      <c r="N39" s="63">
        <f t="shared" si="13"/>
        <v>107.93996527146327</v>
      </c>
      <c r="O39" s="63">
        <f t="shared" si="14"/>
        <v>115.3524448286408</v>
      </c>
      <c r="P39" s="63">
        <f t="shared" si="15"/>
        <v>122.76492438581835</v>
      </c>
      <c r="Q39" s="47"/>
    </row>
    <row r="40" spans="1:19">
      <c r="B40" s="46" t="s">
        <v>94</v>
      </c>
      <c r="C40" s="63">
        <v>134.02314285714286</v>
      </c>
      <c r="D40" s="63">
        <f t="shared" si="3"/>
        <v>336.35034384426888</v>
      </c>
      <c r="E40" s="63">
        <f t="shared" si="4"/>
        <v>144.13950290649916</v>
      </c>
      <c r="F40" s="63">
        <f t="shared" si="5"/>
        <v>154.25586295585546</v>
      </c>
      <c r="G40" s="63">
        <f t="shared" si="6"/>
        <v>174.4885830545681</v>
      </c>
      <c r="H40" s="63">
        <f t="shared" si="7"/>
        <v>194.72130315328067</v>
      </c>
      <c r="I40" s="63">
        <f t="shared" si="8"/>
        <v>140.71047453436202</v>
      </c>
      <c r="J40" s="63">
        <f t="shared" si="9"/>
        <v>147.39780621158118</v>
      </c>
      <c r="K40" s="63">
        <f t="shared" si="10"/>
        <v>160.77246956601954</v>
      </c>
      <c r="L40" s="63">
        <f t="shared" si="11"/>
        <v>174.14713292045784</v>
      </c>
      <c r="M40" s="63">
        <f t="shared" si="12"/>
        <v>138.96429800271554</v>
      </c>
      <c r="N40" s="63">
        <f t="shared" si="13"/>
        <v>143.90545314828827</v>
      </c>
      <c r="O40" s="63">
        <f t="shared" si="14"/>
        <v>153.78776343943363</v>
      </c>
      <c r="P40" s="63">
        <f t="shared" si="15"/>
        <v>163.67007373057902</v>
      </c>
      <c r="Q40" s="47"/>
    </row>
    <row r="41" spans="1:19">
      <c r="B41" s="46" t="s">
        <v>98</v>
      </c>
      <c r="C41" s="63">
        <v>124.77822857142857</v>
      </c>
      <c r="D41" s="63">
        <f t="shared" si="3"/>
        <v>313.14890241765431</v>
      </c>
      <c r="E41" s="63">
        <f t="shared" si="4"/>
        <v>134.19676226373986</v>
      </c>
      <c r="F41" s="63">
        <f t="shared" si="5"/>
        <v>143.61529595605117</v>
      </c>
      <c r="G41" s="63">
        <f t="shared" si="6"/>
        <v>162.45236334067374</v>
      </c>
      <c r="H41" s="63">
        <f t="shared" si="7"/>
        <v>181.28943072529631</v>
      </c>
      <c r="I41" s="63">
        <f t="shared" si="8"/>
        <v>131.00426821476421</v>
      </c>
      <c r="J41" s="63">
        <f t="shared" si="9"/>
        <v>137.23030785809988</v>
      </c>
      <c r="K41" s="63">
        <f t="shared" si="10"/>
        <v>149.68238714477116</v>
      </c>
      <c r="L41" s="63">
        <f t="shared" si="11"/>
        <v>162.13446643144243</v>
      </c>
      <c r="M41" s="63">
        <f t="shared" si="12"/>
        <v>129.37854291279831</v>
      </c>
      <c r="N41" s="63">
        <f t="shared" si="13"/>
        <v>133.97885725416808</v>
      </c>
      <c r="O41" s="63">
        <f t="shared" si="14"/>
        <v>143.17948593690753</v>
      </c>
      <c r="P41" s="63">
        <f t="shared" si="15"/>
        <v>152.38011461964703</v>
      </c>
      <c r="Q41" s="47"/>
    </row>
    <row r="42" spans="1:19">
      <c r="B42" s="46" t="s">
        <v>102</v>
      </c>
      <c r="C42" s="63">
        <v>124.41242857142858</v>
      </c>
      <c r="D42" s="63">
        <f t="shared" si="3"/>
        <v>312.23087473112724</v>
      </c>
      <c r="E42" s="63">
        <f t="shared" si="4"/>
        <v>133.80335087941353</v>
      </c>
      <c r="F42" s="63">
        <f t="shared" si="5"/>
        <v>143.19427318739847</v>
      </c>
      <c r="G42" s="63">
        <f t="shared" si="6"/>
        <v>161.97611780336834</v>
      </c>
      <c r="H42" s="63">
        <f t="shared" si="7"/>
        <v>180.75796241933818</v>
      </c>
      <c r="I42" s="63">
        <f t="shared" si="8"/>
        <v>130.62021594970477</v>
      </c>
      <c r="J42" s="63">
        <f t="shared" si="9"/>
        <v>136.82800332798101</v>
      </c>
      <c r="K42" s="63">
        <f t="shared" si="10"/>
        <v>149.24357808453342</v>
      </c>
      <c r="L42" s="63">
        <f t="shared" si="11"/>
        <v>161.65915284108584</v>
      </c>
      <c r="M42" s="63">
        <f t="shared" si="12"/>
        <v>128.99925662592489</v>
      </c>
      <c r="N42" s="63">
        <f t="shared" si="13"/>
        <v>133.58608468042121</v>
      </c>
      <c r="O42" s="63">
        <f t="shared" si="14"/>
        <v>142.75974078941383</v>
      </c>
      <c r="P42" s="63">
        <f t="shared" si="15"/>
        <v>151.93339689840644</v>
      </c>
      <c r="Q42" s="47"/>
    </row>
    <row r="43" spans="1:19">
      <c r="B43" s="46" t="s">
        <v>105</v>
      </c>
      <c r="C43" s="63">
        <v>124.80448571428572</v>
      </c>
      <c r="D43" s="63">
        <f t="shared" si="3"/>
        <v>313.21479849231798</v>
      </c>
      <c r="E43" s="63">
        <f t="shared" si="4"/>
        <v>134.22500135318734</v>
      </c>
      <c r="F43" s="63">
        <f t="shared" si="5"/>
        <v>143.64551699208894</v>
      </c>
      <c r="G43" s="63">
        <f t="shared" si="6"/>
        <v>162.48654826989218</v>
      </c>
      <c r="H43" s="63">
        <f t="shared" si="7"/>
        <v>181.32757954769539</v>
      </c>
      <c r="I43" s="63">
        <f t="shared" si="8"/>
        <v>131.03183550614824</v>
      </c>
      <c r="J43" s="63">
        <f t="shared" si="9"/>
        <v>137.25918529801078</v>
      </c>
      <c r="K43" s="63">
        <f t="shared" si="10"/>
        <v>149.71388488173582</v>
      </c>
      <c r="L43" s="63">
        <f t="shared" si="11"/>
        <v>162.16858446546084</v>
      </c>
      <c r="M43" s="63">
        <f t="shared" si="12"/>
        <v>129.40576810202245</v>
      </c>
      <c r="N43" s="63">
        <f t="shared" si="13"/>
        <v>134.00705048975922</v>
      </c>
      <c r="O43" s="63">
        <f t="shared" si="14"/>
        <v>143.20961526523269</v>
      </c>
      <c r="P43" s="63">
        <f t="shared" si="15"/>
        <v>152.41218004070618</v>
      </c>
      <c r="Q43" s="47"/>
    </row>
    <row r="44" spans="1:19">
      <c r="B44" s="46" t="s">
        <v>108</v>
      </c>
      <c r="C44" s="63">
        <v>147.57042857142858</v>
      </c>
      <c r="D44" s="63">
        <f t="shared" ref="D44:D49" si="16">C44*(1-0.5/$F$28)</f>
        <v>1459.5149541001524</v>
      </c>
      <c r="E44" s="63">
        <f t="shared" ref="E44:E49" si="17">C44*(1-$E$33/(2*$F$28))</f>
        <v>213.16765484786478</v>
      </c>
      <c r="F44" s="63">
        <f t="shared" ref="F44:F49" si="18">C44*(1-$F$33/(2*$F$28))</f>
        <v>278.76488112430098</v>
      </c>
      <c r="G44" s="63">
        <f t="shared" ref="G44:G49" si="19">C44*(1-$G$33/(2*$F$28))</f>
        <v>409.95933367717339</v>
      </c>
      <c r="H44" s="63">
        <f t="shared" ref="H44:H49" si="20">C44*(1-$H$33/(2*$F$28))</f>
        <v>541.15378623004574</v>
      </c>
      <c r="I44" s="63">
        <f t="shared" ref="I44:I49" si="21">C44*(1-$I$33/(2*$F$29))</f>
        <v>181.40156554601501</v>
      </c>
      <c r="J44" s="63">
        <f t="shared" ref="J44:J49" si="22">C44*(1-$J$33/(2*$F$29))</f>
        <v>215.23270252060138</v>
      </c>
      <c r="K44" s="63">
        <f t="shared" ref="K44:K49" si="23">C44*(1-$K$33/(2*$F$29))</f>
        <v>282.89497646977418</v>
      </c>
      <c r="L44" s="63">
        <f t="shared" ref="L44:L49" si="24">C44*(1-$L$33/(2*$F$29))</f>
        <v>350.55725041894704</v>
      </c>
      <c r="M44" s="63">
        <f t="shared" ref="M44:M49" si="25">C44*(1-$M$33/(2*$F$30))</f>
        <v>156.82438264481172</v>
      </c>
      <c r="N44" s="63">
        <f t="shared" ref="N44:N49" si="26">C44*(1-$N$33/(2*$F$30))</f>
        <v>166.07833671819489</v>
      </c>
      <c r="O44" s="63">
        <f t="shared" ref="O44:O49" si="27">C44*(1-$O$33/(2*$F$30))</f>
        <v>184.58624486496123</v>
      </c>
      <c r="P44" s="63">
        <f t="shared" ref="P44:P49" si="28">C44*(1-$P$33/(2*$F$30))</f>
        <v>203.09415301172751</v>
      </c>
      <c r="Q44" s="47"/>
    </row>
    <row r="45" spans="1:19">
      <c r="B45" s="46" t="s">
        <v>111</v>
      </c>
      <c r="C45" s="63">
        <v>131.10548571428572</v>
      </c>
      <c r="D45" s="63">
        <f t="shared" si="16"/>
        <v>1296.6718252223852</v>
      </c>
      <c r="E45" s="63">
        <f t="shared" si="17"/>
        <v>189.3838026896907</v>
      </c>
      <c r="F45" s="63">
        <f t="shared" si="18"/>
        <v>247.66211966509567</v>
      </c>
      <c r="G45" s="63">
        <f t="shared" si="19"/>
        <v>364.21875361590565</v>
      </c>
      <c r="H45" s="63">
        <f t="shared" si="20"/>
        <v>480.77538756671555</v>
      </c>
      <c r="I45" s="63">
        <f t="shared" si="21"/>
        <v>161.16196578456479</v>
      </c>
      <c r="J45" s="63">
        <f t="shared" si="22"/>
        <v>191.21844585484382</v>
      </c>
      <c r="K45" s="63">
        <f t="shared" si="23"/>
        <v>251.33140599540189</v>
      </c>
      <c r="L45" s="63">
        <f t="shared" si="24"/>
        <v>311.44436613596002</v>
      </c>
      <c r="M45" s="63">
        <f t="shared" si="25"/>
        <v>139.32694414138069</v>
      </c>
      <c r="N45" s="63">
        <f t="shared" si="26"/>
        <v>147.54840256847572</v>
      </c>
      <c r="O45" s="63">
        <f t="shared" si="27"/>
        <v>163.99131942266573</v>
      </c>
      <c r="P45" s="63">
        <f t="shared" si="28"/>
        <v>180.4342362768557</v>
      </c>
      <c r="Q45" s="47"/>
    </row>
    <row r="46" spans="1:19">
      <c r="B46" s="46" t="s">
        <v>116</v>
      </c>
      <c r="C46" s="63">
        <v>131.37425714285715</v>
      </c>
      <c r="D46" s="63">
        <f t="shared" si="16"/>
        <v>1299.330053724073</v>
      </c>
      <c r="E46" s="63">
        <f t="shared" si="17"/>
        <v>189.77204697191794</v>
      </c>
      <c r="F46" s="63">
        <f t="shared" si="18"/>
        <v>248.16983680097874</v>
      </c>
      <c r="G46" s="63">
        <f t="shared" si="19"/>
        <v>364.96541645910037</v>
      </c>
      <c r="H46" s="63">
        <f t="shared" si="20"/>
        <v>481.76099611722191</v>
      </c>
      <c r="I46" s="63">
        <f t="shared" si="21"/>
        <v>161.49235418547192</v>
      </c>
      <c r="J46" s="63">
        <f t="shared" si="22"/>
        <v>191.61045122808667</v>
      </c>
      <c r="K46" s="63">
        <f t="shared" si="23"/>
        <v>251.8466453133162</v>
      </c>
      <c r="L46" s="63">
        <f t="shared" si="24"/>
        <v>312.08283939854573</v>
      </c>
      <c r="M46" s="63">
        <f t="shared" si="25"/>
        <v>139.61256988473806</v>
      </c>
      <c r="N46" s="63">
        <f t="shared" si="26"/>
        <v>147.85088262661901</v>
      </c>
      <c r="O46" s="63">
        <f t="shared" si="27"/>
        <v>164.32750811038088</v>
      </c>
      <c r="P46" s="63">
        <f t="shared" si="28"/>
        <v>180.80413359414268</v>
      </c>
      <c r="Q46" s="47"/>
    </row>
    <row r="47" spans="1:19">
      <c r="B47" s="46" t="s">
        <v>118</v>
      </c>
      <c r="C47" s="63">
        <v>130.53725714285713</v>
      </c>
      <c r="D47" s="63">
        <f t="shared" si="16"/>
        <v>1291.0518774769223</v>
      </c>
      <c r="E47" s="63">
        <f t="shared" si="17"/>
        <v>188.5629881595604</v>
      </c>
      <c r="F47" s="63">
        <f t="shared" si="18"/>
        <v>246.58871917626365</v>
      </c>
      <c r="G47" s="63">
        <f t="shared" si="19"/>
        <v>362.64018120967017</v>
      </c>
      <c r="H47" s="63">
        <f t="shared" si="20"/>
        <v>478.69164324307667</v>
      </c>
      <c r="I47" s="63">
        <f t="shared" si="21"/>
        <v>160.46346844032735</v>
      </c>
      <c r="J47" s="63">
        <f t="shared" si="22"/>
        <v>190.38967973779754</v>
      </c>
      <c r="K47" s="63">
        <f t="shared" si="23"/>
        <v>250.24210233273797</v>
      </c>
      <c r="L47" s="63">
        <f t="shared" si="24"/>
        <v>310.09452492767844</v>
      </c>
      <c r="M47" s="63">
        <f t="shared" si="25"/>
        <v>138.72308267822652</v>
      </c>
      <c r="N47" s="63">
        <f t="shared" si="26"/>
        <v>146.90890821359596</v>
      </c>
      <c r="O47" s="63">
        <f t="shared" si="27"/>
        <v>163.28055928433477</v>
      </c>
      <c r="P47" s="63">
        <f t="shared" si="28"/>
        <v>179.65221035507358</v>
      </c>
      <c r="Q47" s="47"/>
    </row>
    <row r="48" spans="1:19">
      <c r="B48" s="46" t="s">
        <v>124</v>
      </c>
      <c r="C48" s="63">
        <v>80.789857142857144</v>
      </c>
      <c r="D48" s="63">
        <f t="shared" si="16"/>
        <v>799.03545568779759</v>
      </c>
      <c r="E48" s="63">
        <f t="shared" si="17"/>
        <v>116.70213707010417</v>
      </c>
      <c r="F48" s="63">
        <f t="shared" si="18"/>
        <v>152.61441699735121</v>
      </c>
      <c r="G48" s="63">
        <f t="shared" si="19"/>
        <v>224.43897685184527</v>
      </c>
      <c r="H48" s="63">
        <f t="shared" si="20"/>
        <v>296.26353670633927</v>
      </c>
      <c r="I48" s="63">
        <f t="shared" si="21"/>
        <v>99.31126925513756</v>
      </c>
      <c r="J48" s="63">
        <f t="shared" si="22"/>
        <v>117.83268136741795</v>
      </c>
      <c r="K48" s="63">
        <f t="shared" si="23"/>
        <v>154.87550559197877</v>
      </c>
      <c r="L48" s="63">
        <f t="shared" si="24"/>
        <v>191.9183298165396</v>
      </c>
      <c r="M48" s="63">
        <f t="shared" si="25"/>
        <v>85.856086433052042</v>
      </c>
      <c r="N48" s="63">
        <f t="shared" si="26"/>
        <v>90.922315723246953</v>
      </c>
      <c r="O48" s="63">
        <f t="shared" si="27"/>
        <v>101.05477430363676</v>
      </c>
      <c r="P48" s="63">
        <f t="shared" si="28"/>
        <v>111.18723288402656</v>
      </c>
      <c r="Q48" s="47"/>
    </row>
    <row r="49" spans="2:17" ht="27.6">
      <c r="B49" s="280" t="s">
        <v>128</v>
      </c>
      <c r="C49" s="63">
        <v>129</v>
      </c>
      <c r="D49" s="63">
        <f t="shared" si="16"/>
        <v>1275.8479520697986</v>
      </c>
      <c r="E49" s="63">
        <f t="shared" si="17"/>
        <v>186.34239760348996</v>
      </c>
      <c r="F49" s="63">
        <f t="shared" si="18"/>
        <v>243.68479520697989</v>
      </c>
      <c r="G49" s="63">
        <f t="shared" si="19"/>
        <v>358.36959041395977</v>
      </c>
      <c r="H49" s="63">
        <f t="shared" si="20"/>
        <v>473.05438562093963</v>
      </c>
      <c r="I49" s="63">
        <f t="shared" si="21"/>
        <v>158.57378867819196</v>
      </c>
      <c r="J49" s="63">
        <f t="shared" si="22"/>
        <v>188.14757735638386</v>
      </c>
      <c r="K49" s="63">
        <f t="shared" si="23"/>
        <v>247.29515471276773</v>
      </c>
      <c r="L49" s="63">
        <f t="shared" si="24"/>
        <v>306.44273206915165</v>
      </c>
      <c r="M49" s="63">
        <f t="shared" si="25"/>
        <v>137.08942609317293</v>
      </c>
      <c r="N49" s="63">
        <f t="shared" si="26"/>
        <v>145.17885218634586</v>
      </c>
      <c r="O49" s="63">
        <f t="shared" si="27"/>
        <v>161.35770437269176</v>
      </c>
      <c r="P49" s="63">
        <f t="shared" si="28"/>
        <v>177.53655655903759</v>
      </c>
      <c r="Q49" s="47"/>
    </row>
    <row r="50" spans="2:17">
      <c r="B50" s="280" t="s">
        <v>43</v>
      </c>
      <c r="C50" s="78">
        <f>SUMPRODUCT('Ingreso Tarifas AT4.3'!$D$3:$D$15,C34:C46)</f>
        <v>120.84662594761238</v>
      </c>
      <c r="D50" s="78">
        <f>SUMPRODUCT('Ingreso Tarifas AT4.3'!$D$3:$D$15,D34:D46)</f>
        <v>503.97072635236606</v>
      </c>
      <c r="E50" s="78">
        <f>SUMPRODUCT('Ingreso Tarifas AT4.3'!$D$3:$D$15,E34:E46)</f>
        <v>140.00283096785009</v>
      </c>
      <c r="F50" s="78">
        <f>SUMPRODUCT('Ingreso Tarifas AT4.3'!$D$3:$D$15,F34:F46)</f>
        <v>159.15903598808777</v>
      </c>
      <c r="G50" s="78">
        <f>SUMPRODUCT('Ingreso Tarifas AT4.3'!$D$3:$D$15,G34:G46)</f>
        <v>197.47144602856312</v>
      </c>
      <c r="H50" s="78">
        <f>SUMPRODUCT('Ingreso Tarifas AT4.3'!$D$3:$D$15,H34:H46)</f>
        <v>235.78385606903848</v>
      </c>
      <c r="I50" s="78">
        <f>SUMPRODUCT('Ingreso Tarifas AT4.3'!$D$3:$D$15,I34:I46)</f>
        <v>131.75721762318892</v>
      </c>
      <c r="J50" s="78">
        <f>SUMPRODUCT('Ingreso Tarifas AT4.3'!$D$3:$D$15,J34:J46)</f>
        <v>142.66780929876546</v>
      </c>
      <c r="K50" s="78">
        <f>SUMPRODUCT('Ingreso Tarifas AT4.3'!$D$3:$D$15,K34:K46)</f>
        <v>164.48899264991852</v>
      </c>
      <c r="L50" s="78">
        <f>SUMPRODUCT('Ingreso Tarifas AT4.3'!$D$3:$D$15,L34:L46)</f>
        <v>186.3101760010716</v>
      </c>
      <c r="M50" s="78">
        <f>SUMPRODUCT('Ingreso Tarifas AT4.3'!$D$3:$D$15,M34:M46)</f>
        <v>126.00394369468202</v>
      </c>
      <c r="N50" s="78">
        <f>SUMPRODUCT('Ingreso Tarifas AT4.3'!$D$3:$D$15,N34:N46)</f>
        <v>131.16126144175166</v>
      </c>
      <c r="O50" s="78">
        <f>SUMPRODUCT('Ingreso Tarifas AT4.3'!$D$3:$D$15,O34:O46)</f>
        <v>141.47589693589094</v>
      </c>
      <c r="P50" s="78">
        <f>SUMPRODUCT('Ingreso Tarifas AT4.3'!$D$3:$D$15,P34:P46)</f>
        <v>151.79053243003023</v>
      </c>
    </row>
    <row r="51" spans="2:17">
      <c r="B51" s="280" t="s">
        <v>256</v>
      </c>
      <c r="C51" s="78">
        <f>SUMPRODUCT('Ingreso Tarifas AT4.3'!$C$3:$C$17,C34:C48)</f>
        <v>120.14015059643398</v>
      </c>
      <c r="D51" s="78">
        <f>SUMPRODUCT('Ingreso Tarifas AT4.3'!$C$3:$C$17,D34:D48)</f>
        <v>524.07121555825063</v>
      </c>
      <c r="E51" s="78">
        <f>SUMPRODUCT('Ingreso Tarifas AT4.3'!$C$3:$C$17,E34:E48)</f>
        <v>140.33670384452483</v>
      </c>
      <c r="F51" s="78">
        <f>SUMPRODUCT('Ingreso Tarifas AT4.3'!$C$3:$C$17,F34:F48)</f>
        <v>160.53325709261566</v>
      </c>
      <c r="G51" s="78">
        <f>SUMPRODUCT('Ingreso Tarifas AT4.3'!$C$3:$C$17,G34:G48)</f>
        <v>200.92636358879736</v>
      </c>
      <c r="H51" s="78">
        <f>SUMPRODUCT('Ingreso Tarifas AT4.3'!$C$3:$C$17,H34:H48)</f>
        <v>241.31947008497897</v>
      </c>
      <c r="I51" s="78">
        <f>SUMPRODUCT('Ingreso Tarifas AT4.3'!$C$3:$C$17,I34:I48)</f>
        <v>131.54689117463479</v>
      </c>
      <c r="J51" s="78">
        <f>SUMPRODUCT('Ingreso Tarifas AT4.3'!$C$3:$C$17,J34:J48)</f>
        <v>142.95363175283558</v>
      </c>
      <c r="K51" s="78">
        <f>SUMPRODUCT('Ingreso Tarifas AT4.3'!$C$3:$C$17,K34:K48)</f>
        <v>165.76711290923717</v>
      </c>
      <c r="L51" s="78">
        <f>SUMPRODUCT('Ingreso Tarifas AT4.3'!$C$3:$C$17,L34:L48)</f>
        <v>188.58059406563873</v>
      </c>
      <c r="M51" s="78">
        <f>SUMPRODUCT('Ingreso Tarifas AT4.3'!$C$3:$C$17,M34:M48)</f>
        <v>125.34803155740092</v>
      </c>
      <c r="N51" s="78">
        <f>SUMPRODUCT('Ingreso Tarifas AT4.3'!$C$3:$C$17,N34:N48)</f>
        <v>130.55591251836785</v>
      </c>
      <c r="O51" s="78">
        <f>SUMPRODUCT('Ingreso Tarifas AT4.3'!$C$3:$C$17,O34:O48)</f>
        <v>140.97167444030168</v>
      </c>
      <c r="P51" s="78">
        <f>SUMPRODUCT('Ingreso Tarifas AT4.3'!$C$3:$C$17,P34:P48)</f>
        <v>151.38743636223555</v>
      </c>
    </row>
    <row r="54" spans="2:17">
      <c r="C54" s="368" t="s">
        <v>249</v>
      </c>
      <c r="D54" s="279" t="s">
        <v>257</v>
      </c>
      <c r="E54" s="363" t="s">
        <v>258</v>
      </c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</row>
    <row r="55" spans="2:17">
      <c r="C55" s="369"/>
      <c r="D55" s="370" t="s">
        <v>254</v>
      </c>
      <c r="E55" s="363" t="s">
        <v>250</v>
      </c>
      <c r="F55" s="365"/>
      <c r="G55" s="365"/>
      <c r="H55" s="364"/>
      <c r="I55" s="363" t="s">
        <v>251</v>
      </c>
      <c r="J55" s="365"/>
      <c r="K55" s="365"/>
      <c r="L55" s="364"/>
      <c r="M55" s="363" t="s">
        <v>252</v>
      </c>
      <c r="N55" s="365"/>
      <c r="O55" s="365"/>
      <c r="P55" s="364"/>
    </row>
    <row r="56" spans="2:17">
      <c r="C56" s="280" t="s">
        <v>34</v>
      </c>
      <c r="D56" s="371"/>
      <c r="E56" s="280">
        <v>0.05</v>
      </c>
      <c r="F56" s="280">
        <v>0.1</v>
      </c>
      <c r="G56" s="280">
        <v>0.2</v>
      </c>
      <c r="H56" s="280">
        <v>0.3</v>
      </c>
      <c r="I56" s="280">
        <v>0.05</v>
      </c>
      <c r="J56" s="280">
        <v>0.1</v>
      </c>
      <c r="K56" s="280">
        <v>0.2</v>
      </c>
      <c r="L56" s="280">
        <v>0.3</v>
      </c>
      <c r="M56" s="280">
        <v>0.05</v>
      </c>
      <c r="N56" s="280">
        <v>0.1</v>
      </c>
      <c r="O56" s="280">
        <v>0.2</v>
      </c>
      <c r="P56" s="280">
        <v>0.3</v>
      </c>
    </row>
    <row r="57" spans="2:17">
      <c r="C57" s="280" t="s">
        <v>43</v>
      </c>
      <c r="D57" s="63">
        <f t="shared" ref="D57:P57" si="29">D50</f>
        <v>503.97072635236606</v>
      </c>
      <c r="E57" s="63">
        <f t="shared" si="29"/>
        <v>140.00283096785009</v>
      </c>
      <c r="F57" s="63">
        <f t="shared" si="29"/>
        <v>159.15903598808777</v>
      </c>
      <c r="G57" s="63">
        <f t="shared" si="29"/>
        <v>197.47144602856312</v>
      </c>
      <c r="H57" s="63">
        <f t="shared" si="29"/>
        <v>235.78385606903848</v>
      </c>
      <c r="I57" s="63">
        <f t="shared" si="29"/>
        <v>131.75721762318892</v>
      </c>
      <c r="J57" s="63">
        <f t="shared" si="29"/>
        <v>142.66780929876546</v>
      </c>
      <c r="K57" s="63">
        <f t="shared" si="29"/>
        <v>164.48899264991852</v>
      </c>
      <c r="L57" s="63">
        <f t="shared" si="29"/>
        <v>186.3101760010716</v>
      </c>
      <c r="M57" s="63">
        <f t="shared" si="29"/>
        <v>126.00394369468202</v>
      </c>
      <c r="N57" s="63">
        <f t="shared" si="29"/>
        <v>131.16126144175166</v>
      </c>
      <c r="O57" s="63">
        <f t="shared" si="29"/>
        <v>141.47589693589094</v>
      </c>
      <c r="P57" s="63">
        <f t="shared" si="29"/>
        <v>151.79053243003023</v>
      </c>
    </row>
    <row r="58" spans="2:17" ht="27.6">
      <c r="C58" s="280" t="s">
        <v>128</v>
      </c>
      <c r="D58" s="63">
        <f>D49</f>
        <v>1275.8479520697986</v>
      </c>
      <c r="E58" s="63">
        <f t="shared" ref="E58:P58" si="30">E49</f>
        <v>186.34239760348996</v>
      </c>
      <c r="F58" s="63">
        <f t="shared" si="30"/>
        <v>243.68479520697989</v>
      </c>
      <c r="G58" s="63">
        <f t="shared" si="30"/>
        <v>358.36959041395977</v>
      </c>
      <c r="H58" s="63">
        <f t="shared" si="30"/>
        <v>473.05438562093963</v>
      </c>
      <c r="I58" s="63">
        <f t="shared" si="30"/>
        <v>158.57378867819196</v>
      </c>
      <c r="J58" s="63">
        <f t="shared" si="30"/>
        <v>188.14757735638386</v>
      </c>
      <c r="K58" s="63">
        <f t="shared" si="30"/>
        <v>247.29515471276773</v>
      </c>
      <c r="L58" s="63">
        <f t="shared" si="30"/>
        <v>306.44273206915165</v>
      </c>
      <c r="M58" s="63">
        <f t="shared" si="30"/>
        <v>137.08942609317293</v>
      </c>
      <c r="N58" s="63">
        <f t="shared" si="30"/>
        <v>145.17885218634586</v>
      </c>
      <c r="O58" s="63">
        <f t="shared" si="30"/>
        <v>161.35770437269176</v>
      </c>
      <c r="P58" s="63">
        <f t="shared" si="30"/>
        <v>177.53655655903759</v>
      </c>
    </row>
    <row r="59" spans="2:17" ht="55.15">
      <c r="C59" s="280" t="s">
        <v>60</v>
      </c>
      <c r="D59" s="63">
        <f>D47</f>
        <v>1291.0518774769223</v>
      </c>
      <c r="E59" s="63">
        <f t="shared" ref="E59:P59" si="31">E47</f>
        <v>188.5629881595604</v>
      </c>
      <c r="F59" s="63">
        <f t="shared" si="31"/>
        <v>246.58871917626365</v>
      </c>
      <c r="G59" s="63">
        <f t="shared" si="31"/>
        <v>362.64018120967017</v>
      </c>
      <c r="H59" s="63">
        <f t="shared" si="31"/>
        <v>478.69164324307667</v>
      </c>
      <c r="I59" s="63">
        <f t="shared" si="31"/>
        <v>160.46346844032735</v>
      </c>
      <c r="J59" s="63">
        <f t="shared" si="31"/>
        <v>190.38967973779754</v>
      </c>
      <c r="K59" s="63">
        <f t="shared" si="31"/>
        <v>250.24210233273797</v>
      </c>
      <c r="L59" s="63">
        <f t="shared" si="31"/>
        <v>310.09452492767844</v>
      </c>
      <c r="M59" s="63">
        <f t="shared" si="31"/>
        <v>138.72308267822652</v>
      </c>
      <c r="N59" s="63">
        <f t="shared" si="31"/>
        <v>146.90890821359596</v>
      </c>
      <c r="O59" s="63">
        <f t="shared" si="31"/>
        <v>163.28055928433477</v>
      </c>
      <c r="P59" s="63">
        <f t="shared" si="31"/>
        <v>179.65221035507358</v>
      </c>
    </row>
    <row r="60" spans="2:17" ht="27.6">
      <c r="C60" s="280" t="s">
        <v>259</v>
      </c>
      <c r="D60" s="63">
        <f t="shared" ref="D60:P60" si="32">D48</f>
        <v>799.03545568779759</v>
      </c>
      <c r="E60" s="63">
        <f t="shared" si="32"/>
        <v>116.70213707010417</v>
      </c>
      <c r="F60" s="63">
        <f t="shared" si="32"/>
        <v>152.61441699735121</v>
      </c>
      <c r="G60" s="63">
        <f t="shared" si="32"/>
        <v>224.43897685184527</v>
      </c>
      <c r="H60" s="63">
        <f t="shared" si="32"/>
        <v>296.26353670633927</v>
      </c>
      <c r="I60" s="63">
        <f t="shared" si="32"/>
        <v>99.31126925513756</v>
      </c>
      <c r="J60" s="63">
        <f t="shared" si="32"/>
        <v>117.83268136741795</v>
      </c>
      <c r="K60" s="63">
        <f t="shared" si="32"/>
        <v>154.87550559197877</v>
      </c>
      <c r="L60" s="63">
        <f t="shared" si="32"/>
        <v>191.9183298165396</v>
      </c>
      <c r="M60" s="63">
        <f t="shared" si="32"/>
        <v>85.856086433052042</v>
      </c>
      <c r="N60" s="63">
        <f t="shared" si="32"/>
        <v>90.922315723246953</v>
      </c>
      <c r="O60" s="63">
        <f t="shared" si="32"/>
        <v>101.05477430363676</v>
      </c>
      <c r="P60" s="63">
        <f t="shared" si="32"/>
        <v>111.18723288402656</v>
      </c>
    </row>
  </sheetData>
  <sheetProtection algorithmName="SHA-512" hashValue="R8NWK6FPyeP3IclQUCTkZRMt04eDrS7HzAua4nIvJOVgd8I7RNmfcaqq5b3akxlcJ1KH7LcTgngSmOgGGGQIfQ==" saltValue="LyqsGrWl7C5nxd2pKugd7A==" spinCount="100000" sheet="1" objects="1" scenarios="1"/>
  <mergeCells count="12">
    <mergeCell ref="M32:P32"/>
    <mergeCell ref="C54:C55"/>
    <mergeCell ref="E54:P54"/>
    <mergeCell ref="D55:D56"/>
    <mergeCell ref="E55:H55"/>
    <mergeCell ref="I55:L55"/>
    <mergeCell ref="M55:P55"/>
    <mergeCell ref="B2:B3"/>
    <mergeCell ref="B21:E21"/>
    <mergeCell ref="B32:C32"/>
    <mergeCell ref="D32:H32"/>
    <mergeCell ref="I32:L32"/>
  </mergeCells>
  <pageMargins left="0.7" right="0.7" top="0.75" bottom="0.75" header="0.3" footer="0.3"/>
  <ignoredErrors>
    <ignoredError sqref="D4:D1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A69ED-18B7-4AA0-A1BB-02EBF8E787FB}">
  <dimension ref="A2:R61"/>
  <sheetViews>
    <sheetView workbookViewId="0">
      <selection activeCell="E17" sqref="E17"/>
    </sheetView>
  </sheetViews>
  <sheetFormatPr defaultColWidth="11.42578125" defaultRowHeight="14.45"/>
  <cols>
    <col min="1" max="2" width="11.42578125" style="3"/>
    <col min="3" max="3" width="15.7109375" style="3" bestFit="1" customWidth="1"/>
    <col min="4" max="4" width="13.140625" style="3" bestFit="1" customWidth="1"/>
    <col min="5" max="5" width="12" style="3" bestFit="1" customWidth="1"/>
    <col min="6" max="6" width="8.85546875" style="3" customWidth="1"/>
    <col min="7" max="7" width="8.5703125" style="3" customWidth="1"/>
    <col min="8" max="8" width="8.85546875" style="3" customWidth="1"/>
    <col min="9" max="9" width="5.85546875" style="3" customWidth="1"/>
    <col min="10" max="10" width="5.5703125" style="3" customWidth="1"/>
    <col min="11" max="11" width="5.7109375" style="3" customWidth="1"/>
    <col min="12" max="12" width="6.5703125" style="3" customWidth="1"/>
    <col min="13" max="13" width="7.42578125" style="3" customWidth="1"/>
    <col min="14" max="14" width="6.42578125" style="3" customWidth="1"/>
    <col min="15" max="17" width="6.28515625" style="3" customWidth="1"/>
    <col min="18" max="19" width="11.42578125" style="3"/>
    <col min="20" max="20" width="16" style="3" customWidth="1"/>
    <col min="21" max="21" width="11.42578125" style="3" bestFit="1" customWidth="1"/>
    <col min="22" max="22" width="3.28515625" style="3" bestFit="1" customWidth="1"/>
    <col min="23" max="25" width="4.28515625" style="3" bestFit="1" customWidth="1"/>
    <col min="26" max="26" width="3.28515625" style="3" bestFit="1" customWidth="1"/>
    <col min="27" max="29" width="4.28515625" style="3" bestFit="1" customWidth="1"/>
    <col min="30" max="30" width="3.28515625" style="3" bestFit="1" customWidth="1"/>
    <col min="31" max="33" width="4.28515625" style="3" bestFit="1" customWidth="1"/>
    <col min="34" max="34" width="7.42578125" style="3" customWidth="1"/>
    <col min="35" max="16384" width="11.42578125" style="3"/>
  </cols>
  <sheetData>
    <row r="2" spans="3:5">
      <c r="C2" s="360" t="s">
        <v>238</v>
      </c>
      <c r="D2" s="280" t="s">
        <v>239</v>
      </c>
      <c r="E2" s="280" t="s">
        <v>239</v>
      </c>
    </row>
    <row r="3" spans="3:5">
      <c r="C3" s="361"/>
      <c r="D3" s="53">
        <v>43800</v>
      </c>
      <c r="E3" s="53">
        <f>Resultados!D6</f>
        <v>44166</v>
      </c>
    </row>
    <row r="4" spans="3:5">
      <c r="C4" s="46" t="s">
        <v>72</v>
      </c>
      <c r="D4" s="51">
        <f>'Ingreso Tarifas BT1'!I3+'Ingreso Tarifas BT1'!J3</f>
        <v>99.319000000000003</v>
      </c>
      <c r="E4" s="51" cm="1">
        <f t="array" ref="E4">INDEX('Ingreso Tarifas BT1'!K:XFD,3,MATCH(E3,'Ingreso Tarifas BT1'!K1:XFD1,0))+INDEX('Ingreso Tarifas BT1'!K:XFD,3,MATCH(E3,'Ingreso Tarifas BT1'!K1:XFD1,0)+1)</f>
        <v>99.319000000000003</v>
      </c>
    </row>
    <row r="5" spans="3:5">
      <c r="C5" s="46" t="s">
        <v>77</v>
      </c>
      <c r="D5" s="51">
        <f>'Ingreso Tarifas BT1'!I4+'Ingreso Tarifas BT1'!J4</f>
        <v>93.619</v>
      </c>
      <c r="E5" s="51" cm="1">
        <f t="array" ref="E5">INDEX('Ingreso Tarifas BT1'!K:XFD,4,MATCH(E3,'Ingreso Tarifas BT1'!K1:XFD1,0))+INDEX('Ingreso Tarifas BT1'!K:XFD,4,MATCH(E3,'Ingreso Tarifas BT1'!K1:XFD1,0)+1)</f>
        <v>93.619</v>
      </c>
    </row>
    <row r="6" spans="3:5">
      <c r="C6" s="46" t="s">
        <v>80</v>
      </c>
      <c r="D6" s="51">
        <f>'Ingreso Tarifas BT1'!I5+'Ingreso Tarifas BT1'!J5</f>
        <v>96.289000000000001</v>
      </c>
      <c r="E6" s="51" cm="1">
        <f t="array" ref="E6">INDEX('Ingreso Tarifas BT1'!K:XFD,5,MATCH(E3,'Ingreso Tarifas BT1'!K1:XFD1,0))+INDEX('Ingreso Tarifas BT1'!K:XFD,5,MATCH(E3,'Ingreso Tarifas BT1'!K1:XFD1,0)+1)</f>
        <v>96.289000000000001</v>
      </c>
    </row>
    <row r="7" spans="3:5">
      <c r="C7" s="46" t="s">
        <v>82</v>
      </c>
      <c r="D7" s="51">
        <f>'Ingreso Tarifas BT1'!I6+'Ingreso Tarifas BT1'!J6</f>
        <v>107.59399999999999</v>
      </c>
      <c r="E7" s="51" cm="1">
        <f t="array" ref="E7">INDEX('Ingreso Tarifas BT1'!K:XFD,6,MATCH(E3,'Ingreso Tarifas BT1'!K1:XFD1,0))+INDEX('Ingreso Tarifas BT1'!K:XFD,6,MATCH(E3,'Ingreso Tarifas BT1'!K1:XFD1,0)+1)</f>
        <v>107.59399999999999</v>
      </c>
    </row>
    <row r="8" spans="3:5">
      <c r="C8" s="46" t="s">
        <v>86</v>
      </c>
      <c r="D8" s="51">
        <f>'Ingreso Tarifas BT1'!I7+'Ingreso Tarifas BT1'!J7</f>
        <v>112.61799999999999</v>
      </c>
      <c r="E8" s="51" cm="1">
        <f t="array" ref="E8">INDEX('Ingreso Tarifas BT1'!K:XFD,7,MATCH(E3,'Ingreso Tarifas BT1'!K1:XFD1,0))+INDEX('Ingreso Tarifas BT1'!K:XFD,7,MATCH(E3,'Ingreso Tarifas BT1'!K1:XFD1,0)+1)</f>
        <v>112.61799999999999</v>
      </c>
    </row>
    <row r="9" spans="3:5">
      <c r="C9" s="46" t="s">
        <v>89</v>
      </c>
      <c r="D9" s="51">
        <f>'Ingreso Tarifas BT1'!I8+'Ingreso Tarifas BT1'!J8</f>
        <v>88.652000000000001</v>
      </c>
      <c r="E9" s="51" cm="1">
        <f t="array" ref="E9">INDEX('Ingreso Tarifas BT1'!K:XFD,8,MATCH(E3,'Ingreso Tarifas BT1'!K1:XFD1,0))+INDEX('Ingreso Tarifas BT1'!K:XFD,8,MATCH(E3,'Ingreso Tarifas BT1'!K1:XFD1,0)+1)</f>
        <v>88.652000000000001</v>
      </c>
    </row>
    <row r="10" spans="3:5">
      <c r="C10" s="46" t="s">
        <v>94</v>
      </c>
      <c r="D10" s="51">
        <f>'Ingreso Tarifas BT1'!I9+'Ingreso Tarifas BT1'!J9</f>
        <v>108.31</v>
      </c>
      <c r="E10" s="51" cm="1">
        <f t="array" ref="E10">INDEX('Ingreso Tarifas BT1'!K:XFD,9,MATCH(E3,'Ingreso Tarifas BT1'!K1:XFD1,0))+INDEX('Ingreso Tarifas BT1'!K:XFD,9,MATCH(E3,'Ingreso Tarifas BT1'!K1:XFD1,0)+1)</f>
        <v>108.31</v>
      </c>
    </row>
    <row r="11" spans="3:5">
      <c r="C11" s="46" t="s">
        <v>98</v>
      </c>
      <c r="D11" s="51">
        <f>'Ingreso Tarifas BT1'!I10+'Ingreso Tarifas BT1'!J10</f>
        <v>107.212</v>
      </c>
      <c r="E11" s="51" cm="1">
        <f t="array" ref="E11">INDEX('Ingreso Tarifas BT1'!K:XFD,10,MATCH(E3,'Ingreso Tarifas BT1'!K1:XFD1,0))+INDEX('Ingreso Tarifas BT1'!K:XFD,10,MATCH(E3,'Ingreso Tarifas BT1'!K1:XFD1,0)+1)</f>
        <v>107.212</v>
      </c>
    </row>
    <row r="12" spans="3:5">
      <c r="C12" s="46" t="s">
        <v>102</v>
      </c>
      <c r="D12" s="51">
        <f>'Ingreso Tarifas BT1'!I11+'Ingreso Tarifas BT1'!J11</f>
        <v>107.21899999999999</v>
      </c>
      <c r="E12" s="51" cm="1">
        <f t="array" ref="E12">INDEX('Ingreso Tarifas BT1'!K:XFD,11,MATCH(E3,'Ingreso Tarifas BT1'!K1:XFD1,0))+INDEX('Ingreso Tarifas BT1'!K:XFD,11,MATCH(E3,'Ingreso Tarifas BT1'!K1:XFD1,0)+1)</f>
        <v>107.21899999999999</v>
      </c>
    </row>
    <row r="13" spans="3:5">
      <c r="C13" s="46" t="s">
        <v>105</v>
      </c>
      <c r="D13" s="51">
        <f>'Ingreso Tarifas BT1'!I12+'Ingreso Tarifas BT1'!J12</f>
        <v>107.211</v>
      </c>
      <c r="E13" s="51" cm="1">
        <f t="array" ref="E13">INDEX('Ingreso Tarifas BT1'!K:XFD,12,MATCH(E3,'Ingreso Tarifas BT1'!K1:XFD1,0))+INDEX('Ingreso Tarifas BT1'!K:XFD,12,MATCH(E3,'Ingreso Tarifas BT1'!K1:XFD1,0)+1)</f>
        <v>107.211</v>
      </c>
    </row>
    <row r="14" spans="3:5">
      <c r="C14" s="46" t="s">
        <v>108</v>
      </c>
      <c r="D14" s="51">
        <f>'Ingreso Tarifas BT1'!I13+'Ingreso Tarifas BT1'!J13</f>
        <v>107.21899999999999</v>
      </c>
      <c r="E14" s="51" cm="1">
        <f t="array" ref="E14">INDEX('Ingreso Tarifas BT1'!K:XFD,13,MATCH(E3,'Ingreso Tarifas BT1'!K1:XFD1,0))+INDEX('Ingreso Tarifas BT1'!K:XFD,13,MATCH(E3,'Ingreso Tarifas BT1'!K1:XFD1,0)+1)</f>
        <v>107.21899999999999</v>
      </c>
    </row>
    <row r="15" spans="3:5">
      <c r="C15" s="46" t="s">
        <v>111</v>
      </c>
      <c r="D15" s="51">
        <f>'Ingreso Tarifas BT1'!I14+'Ingreso Tarifas BT1'!J14</f>
        <v>101.28700000000001</v>
      </c>
      <c r="E15" s="51" cm="1">
        <f t="array" ref="E15">INDEX('Ingreso Tarifas BT1'!K:XFD,14,MATCH(E3,'Ingreso Tarifas BT1'!K1:XFD1,0))+INDEX('Ingreso Tarifas BT1'!K:XFD,14,MATCH(E3,'Ingreso Tarifas BT1'!K1:XFD1,0)+1)</f>
        <v>101.28700000000001</v>
      </c>
    </row>
    <row r="16" spans="3:5">
      <c r="C16" s="46" t="s">
        <v>116</v>
      </c>
      <c r="D16" s="51">
        <f>'Ingreso Tarifas BT1'!I15+'Ingreso Tarifas BT1'!J15</f>
        <v>101.262</v>
      </c>
      <c r="E16" s="51" cm="1">
        <f t="array" ref="E16">INDEX('Ingreso Tarifas BT1'!K:XFD,15,MATCH(E3,'Ingreso Tarifas BT1'!K1:XFD1,0))+INDEX('Ingreso Tarifas BT1'!K:XFD,15,MATCH(E3,'Ingreso Tarifas BT1'!K1:XFD1,0)+1)</f>
        <v>101.262</v>
      </c>
    </row>
    <row r="17" spans="3:8">
      <c r="C17" s="46" t="s">
        <v>118</v>
      </c>
      <c r="D17" s="51">
        <f>'Ingreso Tarifas BT1'!I16+'Ingreso Tarifas BT1'!J16</f>
        <v>89.284999999999997</v>
      </c>
      <c r="E17" s="51" cm="1">
        <f t="array" ref="E17">INDEX('Ingreso Tarifas BT1'!K:XFD,16,MATCH(E3,'Ingreso Tarifas BT1'!K1:XFD1,0))+INDEX('Ingreso Tarifas BT1'!K:XFD,16,MATCH(E3,'Ingreso Tarifas BT1'!K1:XFD1,0)+1)</f>
        <v>89.284999999999997</v>
      </c>
    </row>
    <row r="18" spans="3:8">
      <c r="C18" s="46" t="s">
        <v>124</v>
      </c>
      <c r="D18" s="51">
        <f>'Ingreso Tarifas BT1'!I17+'Ingreso Tarifas BT1'!J17</f>
        <v>70.043000000000006</v>
      </c>
      <c r="E18" s="51" cm="1">
        <f t="array" ref="E18">INDEX('Ingreso Tarifas BT1'!K:XFD,17,MATCH(E3,'Ingreso Tarifas BT1'!K1:XFD1,0))+INDEX('Ingreso Tarifas BT1'!K:XFD,17,MATCH(E3,'Ingreso Tarifas BT1'!K1:XFD1,0)+1)</f>
        <v>70.043000000000006</v>
      </c>
    </row>
    <row r="19" spans="3:8" ht="27" customHeight="1">
      <c r="C19" s="52" t="s">
        <v>128</v>
      </c>
      <c r="D19" s="51">
        <f>'Ingreso Tarifas BT1'!I18+'Ingreso Tarifas BT1'!J18</f>
        <v>78.798000000000002</v>
      </c>
      <c r="E19" s="51" cm="1">
        <f t="array" ref="E19">INDEX('Ingreso Tarifas BT1'!K:XFD,18,MATCH(E3,'Ingreso Tarifas BT1'!K1:XFD1,0))+INDEX('Ingreso Tarifas BT1'!K:XFD,18,MATCH(E3,'Ingreso Tarifas BT1'!K1:XFD1,0)+1)</f>
        <v>78.798000000000002</v>
      </c>
    </row>
    <row r="20" spans="3:8" s="8" customFormat="1" ht="15" customHeight="1">
      <c r="C20" s="60"/>
      <c r="D20" s="61"/>
      <c r="E20" s="62"/>
    </row>
    <row r="21" spans="3:8" ht="15" customHeight="1">
      <c r="C21" s="362" t="s">
        <v>240</v>
      </c>
      <c r="D21" s="362"/>
      <c r="E21" s="362"/>
      <c r="F21" s="362"/>
    </row>
    <row r="22" spans="3:8">
      <c r="C22" s="280" t="s">
        <v>43</v>
      </c>
      <c r="D22" s="58">
        <f>SUMPRODUCT('Ingreso Tarifas BT1'!$D$3:$D$15,D4:D16)</f>
        <v>98.088474651599597</v>
      </c>
      <c r="E22" s="58">
        <f>SUMPRODUCT('Ingreso Tarifas BT1'!$D$3:$D$15,E4:E16)</f>
        <v>98.088474651599597</v>
      </c>
      <c r="F22" s="65">
        <f>E22/D22</f>
        <v>1</v>
      </c>
    </row>
    <row r="23" spans="3:8">
      <c r="C23" s="280" t="s">
        <v>118</v>
      </c>
      <c r="D23" s="58">
        <f>D17</f>
        <v>89.284999999999997</v>
      </c>
      <c r="E23" s="58">
        <f>E17</f>
        <v>89.284999999999997</v>
      </c>
      <c r="F23" s="65">
        <f t="shared" ref="F23:F25" si="0">E23/D23</f>
        <v>1</v>
      </c>
    </row>
    <row r="24" spans="3:8">
      <c r="C24" s="280" t="s">
        <v>124</v>
      </c>
      <c r="D24" s="58">
        <f t="shared" ref="D24:E24" si="1">D18</f>
        <v>70.043000000000006</v>
      </c>
      <c r="E24" s="58">
        <f t="shared" si="1"/>
        <v>70.043000000000006</v>
      </c>
      <c r="F24" s="65">
        <f t="shared" si="0"/>
        <v>1</v>
      </c>
    </row>
    <row r="25" spans="3:8" ht="27.6">
      <c r="C25" s="280" t="s">
        <v>128</v>
      </c>
      <c r="D25" s="58">
        <f t="shared" ref="D25:E25" si="2">D19</f>
        <v>78.798000000000002</v>
      </c>
      <c r="E25" s="58">
        <f t="shared" si="2"/>
        <v>78.798000000000002</v>
      </c>
      <c r="F25" s="65">
        <f t="shared" si="0"/>
        <v>1</v>
      </c>
    </row>
    <row r="27" spans="3:8">
      <c r="D27" s="280" t="s">
        <v>241</v>
      </c>
      <c r="E27" s="280" t="s">
        <v>242</v>
      </c>
      <c r="F27" s="280" t="s">
        <v>243</v>
      </c>
      <c r="G27" s="280" t="s">
        <v>244</v>
      </c>
      <c r="H27" s="280" t="s">
        <v>245</v>
      </c>
    </row>
    <row r="28" spans="3:8">
      <c r="D28" s="280" t="s">
        <v>246</v>
      </c>
      <c r="E28" s="64">
        <v>-6.9733321433432097E-2</v>
      </c>
      <c r="F28" s="64">
        <v>-4.3830393354020003E-2</v>
      </c>
      <c r="G28" s="64">
        <v>-4.63292676712872E-2</v>
      </c>
      <c r="H28" s="64">
        <v>-5.02151787447929E-2</v>
      </c>
    </row>
    <row r="29" spans="3:8">
      <c r="D29" s="280" t="s">
        <v>247</v>
      </c>
      <c r="E29" s="64">
        <v>-9.3682617272080174E-2</v>
      </c>
      <c r="F29" s="64">
        <v>-6.1350407401284411E-2</v>
      </c>
      <c r="G29" s="64">
        <v>-7.410478817317992E-2</v>
      </c>
      <c r="H29" s="64">
        <v>-7.7048504439533233E-2</v>
      </c>
    </row>
    <row r="30" spans="3:8">
      <c r="D30" s="280" t="s">
        <v>248</v>
      </c>
      <c r="E30" s="64">
        <v>-0.19312576230082174</v>
      </c>
      <c r="F30" s="64">
        <v>-0.12731293662159343</v>
      </c>
      <c r="G30" s="64">
        <v>-0.16188517117573939</v>
      </c>
      <c r="H30" s="64">
        <v>-0.16438421433101078</v>
      </c>
    </row>
    <row r="33" spans="1:18">
      <c r="C33" s="363" t="s">
        <v>260</v>
      </c>
      <c r="D33" s="364"/>
      <c r="E33" s="363" t="s">
        <v>250</v>
      </c>
      <c r="F33" s="365"/>
      <c r="G33" s="365"/>
      <c r="H33" s="365"/>
      <c r="I33" s="364"/>
      <c r="J33" s="363" t="s">
        <v>251</v>
      </c>
      <c r="K33" s="365"/>
      <c r="L33" s="365"/>
      <c r="M33" s="364"/>
      <c r="N33" s="363" t="s">
        <v>252</v>
      </c>
      <c r="O33" s="365"/>
      <c r="P33" s="365"/>
      <c r="Q33" s="364"/>
    </row>
    <row r="34" spans="1:18">
      <c r="C34" s="280" t="s">
        <v>238</v>
      </c>
      <c r="D34" s="280" t="s">
        <v>253</v>
      </c>
      <c r="E34" s="280" t="s">
        <v>254</v>
      </c>
      <c r="F34" s="280">
        <v>0.05</v>
      </c>
      <c r="G34" s="280">
        <v>0.1</v>
      </c>
      <c r="H34" s="280">
        <v>0.2</v>
      </c>
      <c r="I34" s="280">
        <v>0.3</v>
      </c>
      <c r="J34" s="280">
        <v>0.05</v>
      </c>
      <c r="K34" s="280">
        <v>0.1</v>
      </c>
      <c r="L34" s="280">
        <v>0.2</v>
      </c>
      <c r="M34" s="280">
        <v>0.3</v>
      </c>
      <c r="N34" s="280">
        <v>0.05</v>
      </c>
      <c r="O34" s="280">
        <v>0.1</v>
      </c>
      <c r="P34" s="280">
        <v>0.2</v>
      </c>
      <c r="Q34" s="280">
        <v>0.3</v>
      </c>
      <c r="R34" s="47"/>
    </row>
    <row r="35" spans="1:18">
      <c r="A35" s="48"/>
      <c r="B35" s="47"/>
      <c r="C35" s="46" t="s">
        <v>72</v>
      </c>
      <c r="D35" s="63">
        <v>157.48888888888888</v>
      </c>
      <c r="E35" s="63">
        <f>D35*(1-0.5/$E$28)</f>
        <v>1286.7115162610041</v>
      </c>
      <c r="F35" s="63">
        <f>D35*(1-$F$34/(2*$E$28))</f>
        <v>213.95002025749463</v>
      </c>
      <c r="G35" s="63">
        <f>D35*(1-$G$34/(2*$E$28))</f>
        <v>270.41115162610038</v>
      </c>
      <c r="H35" s="63">
        <f>D35*(1-$H$34/(2*$E$28))</f>
        <v>383.33341436331193</v>
      </c>
      <c r="I35" s="63">
        <f>D35*(1-$I$34/(2*$E$28))</f>
        <v>496.25567710052354</v>
      </c>
      <c r="J35" s="63">
        <f>D35*(1-$J$34/(2*$E$29))</f>
        <v>199.51613296969251</v>
      </c>
      <c r="K35" s="63">
        <f>D35*(1-$K$34/(2*$E$29))</f>
        <v>241.54337705049613</v>
      </c>
      <c r="L35" s="63">
        <f>D35*(1-$L$34/(2*$E$29))</f>
        <v>325.59786521210339</v>
      </c>
      <c r="M35" s="63">
        <f>D35*(1-$M$34/(2*$E$29))</f>
        <v>409.65235337371058</v>
      </c>
      <c r="N35" s="63">
        <f>D35*(1-$N$34/(2*$E$30))</f>
        <v>177.87571960124831</v>
      </c>
      <c r="O35" s="63">
        <f>D35*(1-$O$34/(2*$E$30))</f>
        <v>198.26255031360779</v>
      </c>
      <c r="P35" s="63">
        <f>D35*(1-$P$34/(2*$E$30))</f>
        <v>239.03621173832667</v>
      </c>
      <c r="Q35" s="63">
        <f>D35*(1-$Q$34/(2*$E$30))</f>
        <v>279.80987316304555</v>
      </c>
      <c r="R35" s="47"/>
    </row>
    <row r="36" spans="1:18">
      <c r="A36" s="48"/>
      <c r="B36" s="47"/>
      <c r="C36" s="46" t="s">
        <v>77</v>
      </c>
      <c r="D36" s="63">
        <v>155.42222222222222</v>
      </c>
      <c r="E36" s="63">
        <f>D36*(1-0.5/$E$28)</f>
        <v>1269.8264914250688</v>
      </c>
      <c r="F36" s="63">
        <f>D36*(1-$F$34/(2*$E$28))</f>
        <v>211.14243568236455</v>
      </c>
      <c r="G36" s="63">
        <f>D36*(1-$G$34/(2*$E$28))</f>
        <v>266.86264914250688</v>
      </c>
      <c r="H36" s="63">
        <f>D36*(1-$H$34/(2*$E$28))</f>
        <v>378.30307606279155</v>
      </c>
      <c r="I36" s="63">
        <f>D36*(1-$I$34/(2*$E$28))</f>
        <v>489.74350298307627</v>
      </c>
      <c r="J36" s="63">
        <f>D36*(1-$J$34/(2*$E$29))</f>
        <v>196.89795879639192</v>
      </c>
      <c r="K36" s="63">
        <f>D36*(1-$K$34/(2*$E$29))</f>
        <v>238.37369537056159</v>
      </c>
      <c r="L36" s="63">
        <f>D36*(1-$L$34/(2*$E$29))</f>
        <v>321.32516851890097</v>
      </c>
      <c r="M36" s="63">
        <f>D36*(1-$M$34/(2*$E$29))</f>
        <v>404.27664166724026</v>
      </c>
      <c r="N36" s="63">
        <f>D36*(1-$N$34/(2*$E$30))</f>
        <v>175.54152432497963</v>
      </c>
      <c r="O36" s="63">
        <f>D36*(1-$O$34/(2*$E$30))</f>
        <v>195.66082642773711</v>
      </c>
      <c r="P36" s="63">
        <f>D36*(1-$P$34/(2*$E$30))</f>
        <v>235.89943063325197</v>
      </c>
      <c r="Q36" s="63">
        <f>D36*(1-$Q$34/(2*$E$30))</f>
        <v>276.13803483876683</v>
      </c>
      <c r="R36" s="47"/>
    </row>
    <row r="37" spans="1:18">
      <c r="A37" s="48"/>
      <c r="B37" s="47"/>
      <c r="C37" s="46" t="s">
        <v>80</v>
      </c>
      <c r="D37" s="63">
        <v>146.38333333333333</v>
      </c>
      <c r="E37" s="63">
        <f>D37*(1-0.5/$E$28)</f>
        <v>1195.9772026937067</v>
      </c>
      <c r="F37" s="63">
        <f>D37*(1-$F$34/(2*$E$28))</f>
        <v>198.86302680135199</v>
      </c>
      <c r="G37" s="63">
        <f>D37*(1-$G$34/(2*$E$28))</f>
        <v>251.34272026937066</v>
      </c>
      <c r="H37" s="63">
        <f>D37*(1-$H$34/(2*$E$28))</f>
        <v>356.30210720540799</v>
      </c>
      <c r="I37" s="63">
        <f>D37*(1-$I$34/(2*$E$28))</f>
        <v>461.26149414144538</v>
      </c>
      <c r="J37" s="63">
        <f>D37*(1-$J$34/(2*$E$29))</f>
        <v>185.44696583950994</v>
      </c>
      <c r="K37" s="63">
        <f>D37*(1-$K$34/(2*$E$29))</f>
        <v>224.51059834568656</v>
      </c>
      <c r="L37" s="63">
        <f>D37*(1-$L$34/(2*$E$29))</f>
        <v>302.63786335803979</v>
      </c>
      <c r="M37" s="63">
        <f>D37*(1-$M$34/(2*$E$29))</f>
        <v>380.76512837039297</v>
      </c>
      <c r="N37" s="63">
        <f>D37*(1-$N$34/(2*$E$30))</f>
        <v>165.33255735054649</v>
      </c>
      <c r="O37" s="63">
        <f>D37*(1-$O$34/(2*$E$30))</f>
        <v>184.28178136775966</v>
      </c>
      <c r="P37" s="63">
        <f>D37*(1-$P$34/(2*$E$30))</f>
        <v>222.18022940218603</v>
      </c>
      <c r="Q37" s="63">
        <f>D37*(1-$Q$34/(2*$E$30))</f>
        <v>260.07867743661234</v>
      </c>
      <c r="R37" s="47"/>
    </row>
    <row r="38" spans="1:18">
      <c r="A38" s="48"/>
      <c r="B38" s="47"/>
      <c r="C38" s="46" t="s">
        <v>82</v>
      </c>
      <c r="D38" s="63">
        <v>152.30000000000001</v>
      </c>
      <c r="E38" s="63">
        <f>D38*(1-0.5/$E$28)</f>
        <v>1244.3173947643281</v>
      </c>
      <c r="F38" s="63">
        <f>D38*(1-$F$34/(2*$E$28))</f>
        <v>206.90086973821641</v>
      </c>
      <c r="G38" s="63">
        <f>D38*(1-$G$34/(2*$E$28))</f>
        <v>261.50173947643282</v>
      </c>
      <c r="H38" s="63">
        <f>D38*(1-$H$34/(2*$E$28))</f>
        <v>370.70347895286562</v>
      </c>
      <c r="I38" s="63">
        <f>D38*(1-$I$34/(2*$E$28))</f>
        <v>479.90521842929849</v>
      </c>
      <c r="J38" s="63">
        <f>D38*(1-$J$34/(2*$E$29))</f>
        <v>192.94254512597541</v>
      </c>
      <c r="K38" s="63">
        <f>D38*(1-$K$34/(2*$E$29))</f>
        <v>233.58509025195082</v>
      </c>
      <c r="L38" s="63">
        <f>D38*(1-$L$34/(2*$E$29))</f>
        <v>314.87018050390162</v>
      </c>
      <c r="M38" s="63">
        <f>D38*(1-$M$34/(2*$E$29))</f>
        <v>396.15527075585237</v>
      </c>
      <c r="N38" s="63">
        <f>D38*(1-$N$34/(2*$E$30))</f>
        <v>172.01513253663828</v>
      </c>
      <c r="O38" s="63">
        <f>D38*(1-$O$34/(2*$E$30))</f>
        <v>191.73026507327657</v>
      </c>
      <c r="P38" s="63">
        <f>D38*(1-$P$34/(2*$E$30))</f>
        <v>231.16053014655313</v>
      </c>
      <c r="Q38" s="63">
        <f>D38*(1-$Q$34/(2*$E$30))</f>
        <v>270.59079521982966</v>
      </c>
      <c r="R38" s="47"/>
    </row>
    <row r="39" spans="1:18">
      <c r="A39" s="48"/>
      <c r="B39" s="47"/>
      <c r="C39" s="46" t="s">
        <v>86</v>
      </c>
      <c r="D39" s="63">
        <v>171.37777777777777</v>
      </c>
      <c r="E39" s="63">
        <f t="shared" ref="E39:E44" si="3">D39*(1-0.5/$F$28)</f>
        <v>2126.3884982332384</v>
      </c>
      <c r="F39" s="63">
        <f t="shared" ref="F39:F44" si="4">D39*(1-$F$34/(2*$F$28))</f>
        <v>269.12831380055081</v>
      </c>
      <c r="G39" s="63">
        <f t="shared" ref="G39:G44" si="5">D39*(1-$G$34/(2*$F$28))</f>
        <v>366.87884982332383</v>
      </c>
      <c r="H39" s="63">
        <f t="shared" ref="H39:H44" si="6">D39*(1-$H$34/(2*$F$28))</f>
        <v>562.37992186886993</v>
      </c>
      <c r="I39" s="63">
        <f t="shared" ref="I39:I44" si="7">D39*(1-$I$34/(2*$F$28))</f>
        <v>757.88099391441597</v>
      </c>
      <c r="J39" s="63">
        <f t="shared" ref="J39:J44" si="8">D39*(1-$J$34/(2*$F$29))</f>
        <v>241.21340929071124</v>
      </c>
      <c r="K39" s="63">
        <f t="shared" ref="K39:K44" si="9">D39*(1-$K$34/(2*$F$29))</f>
        <v>311.04904080364474</v>
      </c>
      <c r="L39" s="63">
        <f t="shared" ref="L39:L44" si="10">D39*(1-$L$34/(2*$F$29))</f>
        <v>450.72030382951169</v>
      </c>
      <c r="M39" s="63">
        <f t="shared" ref="M39:M44" si="11">D39*(1-$M$34/(2*$F$29))</f>
        <v>590.39156685537853</v>
      </c>
      <c r="N39" s="63">
        <f t="shared" ref="N39:N44" si="12">D39*(1-$N$34/(2*$F$30))</f>
        <v>205.03063787304762</v>
      </c>
      <c r="O39" s="63">
        <f t="shared" ref="O39:O44" si="13">D39*(1-$O$34/(2*$F$30))</f>
        <v>238.68349796831751</v>
      </c>
      <c r="P39" s="63">
        <f t="shared" ref="P39:P44" si="14">D39*(1-$P$34/(2*$F$30))</f>
        <v>305.98921815885728</v>
      </c>
      <c r="Q39" s="63">
        <f t="shared" ref="Q39:Q44" si="15">D39*(1-$Q$34/(2*$F$30))</f>
        <v>373.294938349397</v>
      </c>
      <c r="R39" s="47"/>
    </row>
    <row r="40" spans="1:18">
      <c r="A40" s="48"/>
      <c r="B40" s="47"/>
      <c r="C40" s="46" t="s">
        <v>89</v>
      </c>
      <c r="D40" s="63">
        <v>126.41111111111111</v>
      </c>
      <c r="E40" s="63">
        <f t="shared" si="3"/>
        <v>1568.459669631714</v>
      </c>
      <c r="F40" s="63">
        <f t="shared" si="4"/>
        <v>198.51353903714127</v>
      </c>
      <c r="G40" s="63">
        <f t="shared" si="5"/>
        <v>270.61596696317139</v>
      </c>
      <c r="H40" s="63">
        <f t="shared" si="6"/>
        <v>414.82082281523168</v>
      </c>
      <c r="I40" s="63">
        <f t="shared" si="7"/>
        <v>559.02567866729191</v>
      </c>
      <c r="J40" s="63">
        <f t="shared" si="8"/>
        <v>177.92303925702944</v>
      </c>
      <c r="K40" s="63">
        <f t="shared" si="9"/>
        <v>229.43496740294776</v>
      </c>
      <c r="L40" s="63">
        <f t="shared" si="10"/>
        <v>332.45882369478443</v>
      </c>
      <c r="M40" s="63">
        <f t="shared" si="11"/>
        <v>435.48267998662095</v>
      </c>
      <c r="N40" s="63">
        <f t="shared" si="12"/>
        <v>151.23402276203728</v>
      </c>
      <c r="O40" s="63">
        <f t="shared" si="13"/>
        <v>176.05693441296347</v>
      </c>
      <c r="P40" s="63">
        <f t="shared" si="14"/>
        <v>225.70275771481585</v>
      </c>
      <c r="Q40" s="63">
        <f t="shared" si="15"/>
        <v>275.34858101666816</v>
      </c>
      <c r="R40" s="47"/>
    </row>
    <row r="41" spans="1:18">
      <c r="A41" s="48"/>
      <c r="B41" s="47"/>
      <c r="C41" s="46" t="s">
        <v>94</v>
      </c>
      <c r="D41" s="63">
        <v>170.97777777777779</v>
      </c>
      <c r="E41" s="63">
        <f t="shared" si="3"/>
        <v>2121.4254545392296</v>
      </c>
      <c r="F41" s="63">
        <f t="shared" si="4"/>
        <v>268.5001616158504</v>
      </c>
      <c r="G41" s="63">
        <f t="shared" si="5"/>
        <v>366.02254545392299</v>
      </c>
      <c r="H41" s="63">
        <f t="shared" si="6"/>
        <v>561.06731313006821</v>
      </c>
      <c r="I41" s="63">
        <f t="shared" si="7"/>
        <v>756.11208080621327</v>
      </c>
      <c r="J41" s="63">
        <f t="shared" si="8"/>
        <v>240.65041118811368</v>
      </c>
      <c r="K41" s="63">
        <f t="shared" si="9"/>
        <v>310.32304459844954</v>
      </c>
      <c r="L41" s="63">
        <f t="shared" si="10"/>
        <v>449.66831141912132</v>
      </c>
      <c r="M41" s="63">
        <f t="shared" si="11"/>
        <v>589.01357823979288</v>
      </c>
      <c r="N41" s="63">
        <f t="shared" si="12"/>
        <v>204.55209125975475</v>
      </c>
      <c r="O41" s="63">
        <f t="shared" si="13"/>
        <v>238.12640474173173</v>
      </c>
      <c r="P41" s="63">
        <f t="shared" si="14"/>
        <v>305.27503170568571</v>
      </c>
      <c r="Q41" s="63">
        <f t="shared" si="15"/>
        <v>372.42365866963962</v>
      </c>
      <c r="R41" s="47"/>
    </row>
    <row r="42" spans="1:18">
      <c r="A42" s="48"/>
      <c r="B42" s="47"/>
      <c r="C42" s="46" t="s">
        <v>98</v>
      </c>
      <c r="D42" s="63">
        <v>150.28888888888889</v>
      </c>
      <c r="E42" s="63">
        <f t="shared" si="3"/>
        <v>1864.7258056990916</v>
      </c>
      <c r="F42" s="63">
        <f t="shared" si="4"/>
        <v>236.01073472939902</v>
      </c>
      <c r="G42" s="63">
        <f t="shared" si="5"/>
        <v>321.73258056990915</v>
      </c>
      <c r="H42" s="63">
        <f t="shared" si="6"/>
        <v>493.17627225092946</v>
      </c>
      <c r="I42" s="63">
        <f t="shared" si="7"/>
        <v>664.61996393194966</v>
      </c>
      <c r="J42" s="63">
        <f t="shared" si="8"/>
        <v>211.53089821487038</v>
      </c>
      <c r="K42" s="63">
        <f t="shared" si="9"/>
        <v>272.77290754085186</v>
      </c>
      <c r="L42" s="63">
        <f t="shared" si="10"/>
        <v>395.25692619281483</v>
      </c>
      <c r="M42" s="63">
        <f t="shared" si="11"/>
        <v>517.74094484477769</v>
      </c>
      <c r="N42" s="63">
        <f t="shared" si="12"/>
        <v>179.80059698332744</v>
      </c>
      <c r="O42" s="63">
        <f t="shared" si="13"/>
        <v>209.31230507776601</v>
      </c>
      <c r="P42" s="63">
        <f t="shared" si="14"/>
        <v>268.33572126664313</v>
      </c>
      <c r="Q42" s="63">
        <f t="shared" si="15"/>
        <v>327.35913745552023</v>
      </c>
      <c r="R42" s="47"/>
    </row>
    <row r="43" spans="1:18">
      <c r="A43" s="48"/>
      <c r="B43" s="47"/>
      <c r="C43" s="46" t="s">
        <v>102</v>
      </c>
      <c r="D43" s="63">
        <v>156.4</v>
      </c>
      <c r="E43" s="63">
        <f t="shared" si="3"/>
        <v>1940.5500843575642</v>
      </c>
      <c r="F43" s="63">
        <f t="shared" si="4"/>
        <v>245.60750421787822</v>
      </c>
      <c r="G43" s="63">
        <f t="shared" si="5"/>
        <v>334.81500843575645</v>
      </c>
      <c r="H43" s="63">
        <f t="shared" si="6"/>
        <v>513.23001687151282</v>
      </c>
      <c r="I43" s="63">
        <f t="shared" si="7"/>
        <v>691.64502530726918</v>
      </c>
      <c r="J43" s="63">
        <f t="shared" si="8"/>
        <v>220.13225811566727</v>
      </c>
      <c r="K43" s="63">
        <f t="shared" si="9"/>
        <v>283.86451623133451</v>
      </c>
      <c r="L43" s="63">
        <f t="shared" si="10"/>
        <v>411.32903246266903</v>
      </c>
      <c r="M43" s="63">
        <f t="shared" si="11"/>
        <v>538.79354869400345</v>
      </c>
      <c r="N43" s="63">
        <f t="shared" si="12"/>
        <v>187.11172579752457</v>
      </c>
      <c r="O43" s="63">
        <f t="shared" si="13"/>
        <v>217.82345159504911</v>
      </c>
      <c r="P43" s="63">
        <f t="shared" si="14"/>
        <v>279.24690319009824</v>
      </c>
      <c r="Q43" s="63">
        <f t="shared" si="15"/>
        <v>340.67035478514731</v>
      </c>
      <c r="R43" s="47"/>
    </row>
    <row r="44" spans="1:18">
      <c r="A44" s="48"/>
      <c r="B44" s="47"/>
      <c r="C44" s="46" t="s">
        <v>105</v>
      </c>
      <c r="D44" s="63">
        <v>150.52222222222221</v>
      </c>
      <c r="E44" s="63">
        <f t="shared" si="3"/>
        <v>1867.6209145205967</v>
      </c>
      <c r="F44" s="63">
        <f t="shared" si="4"/>
        <v>236.37715683714094</v>
      </c>
      <c r="G44" s="63">
        <f t="shared" si="5"/>
        <v>322.23209145205965</v>
      </c>
      <c r="H44" s="63">
        <f t="shared" si="6"/>
        <v>493.94196068189711</v>
      </c>
      <c r="I44" s="63">
        <f t="shared" si="7"/>
        <v>665.65182991173447</v>
      </c>
      <c r="J44" s="63">
        <f t="shared" si="8"/>
        <v>211.85931377471897</v>
      </c>
      <c r="K44" s="63">
        <f t="shared" si="9"/>
        <v>273.1964053272157</v>
      </c>
      <c r="L44" s="63">
        <f t="shared" si="10"/>
        <v>395.87058843220922</v>
      </c>
      <c r="M44" s="63">
        <f t="shared" si="11"/>
        <v>518.54477153720256</v>
      </c>
      <c r="N44" s="63">
        <f t="shared" si="12"/>
        <v>180.07974917441496</v>
      </c>
      <c r="O44" s="63">
        <f t="shared" si="13"/>
        <v>209.6372761266077</v>
      </c>
      <c r="P44" s="63">
        <f t="shared" si="14"/>
        <v>268.75233003099322</v>
      </c>
      <c r="Q44" s="63">
        <f t="shared" si="15"/>
        <v>327.86738393537865</v>
      </c>
      <c r="R44" s="47"/>
    </row>
    <row r="45" spans="1:18">
      <c r="A45" s="48"/>
      <c r="B45" s="47"/>
      <c r="C45" s="46" t="s">
        <v>108</v>
      </c>
      <c r="D45" s="63">
        <v>169.72777777777779</v>
      </c>
      <c r="E45" s="63">
        <f t="shared" ref="E45:E50" si="16">D45*(1-0.5/$G$28)</f>
        <v>2001.4832350625845</v>
      </c>
      <c r="F45" s="63">
        <f t="shared" ref="F45:F50" si="17">D45*(1-$F$34/(2*$G$28))</f>
        <v>261.31555064201814</v>
      </c>
      <c r="G45" s="63">
        <f t="shared" ref="G45:G50" si="18">D45*(1-$G$34/(2*$G$28))</f>
        <v>352.90332350625846</v>
      </c>
      <c r="H45" s="63">
        <f t="shared" ref="H45:H50" si="19">D45*(1-$H$34/(2*$G$28))</f>
        <v>536.07886923473916</v>
      </c>
      <c r="I45" s="63">
        <f t="shared" ref="I45:I50" si="20">D45*(1-$I$34/(2*$G$28))</f>
        <v>719.25441496321969</v>
      </c>
      <c r="J45" s="63">
        <f t="shared" ref="J45:J50" si="21">D45*(1-$J$34/(2*$G$29))</f>
        <v>226.98716072788173</v>
      </c>
      <c r="K45" s="63">
        <f t="shared" ref="K45:K50" si="22">D45*(1-$K$34/(2*$G$29))</f>
        <v>284.24654367798576</v>
      </c>
      <c r="L45" s="63">
        <f t="shared" ref="L45:L50" si="23">D45*(1-$L$34/(2*$G$29))</f>
        <v>398.76530957819369</v>
      </c>
      <c r="M45" s="63">
        <f t="shared" ref="M45:M50" si="24">D45*(1-$M$34/(2*$G$29))</f>
        <v>513.28407547840163</v>
      </c>
      <c r="N45" s="63">
        <f t="shared" ref="N45:N50" si="25">D45*(1-$N$34/(2*$G$30))</f>
        <v>195.93891505259413</v>
      </c>
      <c r="O45" s="63">
        <f t="shared" ref="O45:O50" si="26">D45*(1-$O$34/(2*$G$30))</f>
        <v>222.15005232741044</v>
      </c>
      <c r="P45" s="63">
        <f t="shared" ref="P45:P50" si="27">D45*(1-$P$34/(2*$G$30))</f>
        <v>274.57232687704311</v>
      </c>
      <c r="Q45" s="63">
        <f t="shared" ref="Q45:Q50" si="28">D45*(1-$Q$34/(2*$G$30))</f>
        <v>326.99460142667573</v>
      </c>
      <c r="R45" s="47"/>
    </row>
    <row r="46" spans="1:18">
      <c r="A46" s="48"/>
      <c r="B46" s="47"/>
      <c r="C46" s="46" t="s">
        <v>111</v>
      </c>
      <c r="D46" s="63">
        <v>165.85555555555555</v>
      </c>
      <c r="E46" s="63">
        <f t="shared" si="16"/>
        <v>1955.8207750829235</v>
      </c>
      <c r="F46" s="63">
        <f t="shared" si="17"/>
        <v>255.35381653192394</v>
      </c>
      <c r="G46" s="63">
        <f t="shared" si="18"/>
        <v>344.85207750829233</v>
      </c>
      <c r="H46" s="63">
        <f t="shared" si="19"/>
        <v>523.84859946102915</v>
      </c>
      <c r="I46" s="63">
        <f t="shared" si="20"/>
        <v>702.84512141376581</v>
      </c>
      <c r="J46" s="63">
        <f t="shared" si="21"/>
        <v>221.80860516415768</v>
      </c>
      <c r="K46" s="63">
        <f t="shared" si="22"/>
        <v>277.76165477275981</v>
      </c>
      <c r="L46" s="63">
        <f t="shared" si="23"/>
        <v>389.66775398996413</v>
      </c>
      <c r="M46" s="63">
        <f t="shared" si="24"/>
        <v>501.57385320716833</v>
      </c>
      <c r="N46" s="63">
        <f t="shared" si="25"/>
        <v>191.46870380609946</v>
      </c>
      <c r="O46" s="63">
        <f t="shared" si="26"/>
        <v>217.08185205664333</v>
      </c>
      <c r="P46" s="63">
        <f t="shared" si="27"/>
        <v>268.3081485577311</v>
      </c>
      <c r="Q46" s="63">
        <f t="shared" si="28"/>
        <v>319.5344450588189</v>
      </c>
      <c r="R46" s="47"/>
    </row>
    <row r="47" spans="1:18">
      <c r="A47" s="48"/>
      <c r="B47" s="47"/>
      <c r="C47" s="46" t="s">
        <v>116</v>
      </c>
      <c r="D47" s="63">
        <v>165.86111111111111</v>
      </c>
      <c r="E47" s="63">
        <f t="shared" si="16"/>
        <v>1955.8862879379876</v>
      </c>
      <c r="F47" s="63">
        <f t="shared" si="17"/>
        <v>255.36236995245494</v>
      </c>
      <c r="G47" s="63">
        <f t="shared" si="18"/>
        <v>344.86362879379874</v>
      </c>
      <c r="H47" s="63">
        <f t="shared" si="19"/>
        <v>523.86614647648639</v>
      </c>
      <c r="I47" s="63">
        <f t="shared" si="20"/>
        <v>702.86866415917393</v>
      </c>
      <c r="J47" s="63">
        <f t="shared" si="21"/>
        <v>221.81603494258482</v>
      </c>
      <c r="K47" s="63">
        <f t="shared" si="22"/>
        <v>277.77095877405856</v>
      </c>
      <c r="L47" s="63">
        <f t="shared" si="23"/>
        <v>389.68080643700603</v>
      </c>
      <c r="M47" s="63">
        <f t="shared" si="24"/>
        <v>501.5906540999535</v>
      </c>
      <c r="N47" s="63">
        <f t="shared" si="25"/>
        <v>191.47511730860518</v>
      </c>
      <c r="O47" s="63">
        <f t="shared" si="26"/>
        <v>217.08912350609924</v>
      </c>
      <c r="P47" s="63">
        <f t="shared" si="27"/>
        <v>268.3171359010874</v>
      </c>
      <c r="Q47" s="63">
        <f t="shared" si="28"/>
        <v>319.54514829607552</v>
      </c>
      <c r="R47" s="47"/>
    </row>
    <row r="48" spans="1:18">
      <c r="B48" s="47"/>
      <c r="C48" s="46" t="s">
        <v>118</v>
      </c>
      <c r="D48" s="63">
        <v>154.16666666666666</v>
      </c>
      <c r="E48" s="63">
        <f t="shared" si="16"/>
        <v>1817.9817280281077</v>
      </c>
      <c r="F48" s="63">
        <f t="shared" si="17"/>
        <v>237.3574197347387</v>
      </c>
      <c r="G48" s="63">
        <f t="shared" si="18"/>
        <v>320.54817280281071</v>
      </c>
      <c r="H48" s="63">
        <f t="shared" si="19"/>
        <v>486.92967893895479</v>
      </c>
      <c r="I48" s="63">
        <f t="shared" si="20"/>
        <v>653.31118507509882</v>
      </c>
      <c r="J48" s="63">
        <f t="shared" si="21"/>
        <v>206.17635135343255</v>
      </c>
      <c r="K48" s="63">
        <f t="shared" si="22"/>
        <v>258.18603604019847</v>
      </c>
      <c r="L48" s="63">
        <f t="shared" si="23"/>
        <v>362.20540541373026</v>
      </c>
      <c r="M48" s="63">
        <f t="shared" si="24"/>
        <v>466.22477478726205</v>
      </c>
      <c r="N48" s="63">
        <f t="shared" si="25"/>
        <v>177.97469453404099</v>
      </c>
      <c r="O48" s="63">
        <f t="shared" si="26"/>
        <v>201.7827224014153</v>
      </c>
      <c r="P48" s="63">
        <f t="shared" si="27"/>
        <v>249.39877813616394</v>
      </c>
      <c r="Q48" s="63">
        <f t="shared" si="28"/>
        <v>297.01483387091258</v>
      </c>
      <c r="R48" s="47"/>
    </row>
    <row r="49" spans="2:18">
      <c r="B49" s="47"/>
      <c r="C49" s="46" t="s">
        <v>124</v>
      </c>
      <c r="D49" s="63">
        <v>143.67222222222222</v>
      </c>
      <c r="E49" s="63">
        <f t="shared" si="16"/>
        <v>1694.2279448120682</v>
      </c>
      <c r="F49" s="63">
        <f t="shared" si="17"/>
        <v>221.2000083517145</v>
      </c>
      <c r="G49" s="63">
        <f t="shared" si="18"/>
        <v>298.72779448120679</v>
      </c>
      <c r="H49" s="63">
        <f t="shared" si="19"/>
        <v>453.78336674019141</v>
      </c>
      <c r="I49" s="63">
        <f t="shared" si="20"/>
        <v>608.83893899917587</v>
      </c>
      <c r="J49" s="63">
        <f t="shared" si="21"/>
        <v>192.14149990454484</v>
      </c>
      <c r="K49" s="63">
        <f t="shared" si="22"/>
        <v>240.61077758686747</v>
      </c>
      <c r="L49" s="63">
        <f t="shared" si="23"/>
        <v>337.54933295151272</v>
      </c>
      <c r="M49" s="63">
        <f t="shared" si="24"/>
        <v>434.48788831615798</v>
      </c>
      <c r="N49" s="63">
        <f t="shared" si="25"/>
        <v>165.85958830071473</v>
      </c>
      <c r="O49" s="63">
        <f t="shared" si="26"/>
        <v>188.04695437920725</v>
      </c>
      <c r="P49" s="63">
        <f t="shared" si="27"/>
        <v>232.42168653619228</v>
      </c>
      <c r="Q49" s="63">
        <f t="shared" si="28"/>
        <v>276.79641869317732</v>
      </c>
      <c r="R49" s="47"/>
    </row>
    <row r="50" spans="2:18" ht="27.6">
      <c r="B50" s="47"/>
      <c r="C50" s="46" t="s">
        <v>128</v>
      </c>
      <c r="D50" s="63">
        <v>138</v>
      </c>
      <c r="E50" s="63">
        <f t="shared" si="16"/>
        <v>1627.3393197916466</v>
      </c>
      <c r="F50" s="63">
        <f t="shared" si="17"/>
        <v>212.46696598958232</v>
      </c>
      <c r="G50" s="63">
        <f t="shared" si="18"/>
        <v>286.93393197916464</v>
      </c>
      <c r="H50" s="63">
        <f t="shared" si="19"/>
        <v>435.86786395832934</v>
      </c>
      <c r="I50" s="63">
        <f t="shared" si="20"/>
        <v>584.80179593749392</v>
      </c>
      <c r="J50" s="63">
        <f t="shared" si="21"/>
        <v>184.55569613042394</v>
      </c>
      <c r="K50" s="63">
        <f t="shared" si="22"/>
        <v>231.11139226084794</v>
      </c>
      <c r="L50" s="63">
        <f t="shared" si="23"/>
        <v>324.22278452169587</v>
      </c>
      <c r="M50" s="63">
        <f t="shared" si="24"/>
        <v>417.33417678254375</v>
      </c>
      <c r="N50" s="63">
        <f t="shared" si="25"/>
        <v>159.31140224236319</v>
      </c>
      <c r="O50" s="63">
        <f t="shared" si="26"/>
        <v>180.62280448472634</v>
      </c>
      <c r="P50" s="63">
        <f t="shared" si="27"/>
        <v>223.24560896945272</v>
      </c>
      <c r="Q50" s="63">
        <f t="shared" si="28"/>
        <v>265.86841345417906</v>
      </c>
      <c r="R50" s="47"/>
    </row>
    <row r="51" spans="2:18">
      <c r="C51" s="280" t="s">
        <v>43</v>
      </c>
      <c r="D51" s="66">
        <f>SUMPRODUCT('Ingreso Tarifas BT1'!$D$3:$D$15,D35:D47)</f>
        <v>144.51180998829082</v>
      </c>
      <c r="E51" s="66">
        <f>SUMPRODUCT('Ingreso Tarifas BT1'!$D$3:$D$15,E35:E47)</f>
        <v>1734.2582910118115</v>
      </c>
      <c r="F51" s="66">
        <f>SUMPRODUCT('Ingreso Tarifas BT1'!$D$3:$D$15,F35:F47)</f>
        <v>223.99913403946681</v>
      </c>
      <c r="G51" s="66">
        <f>SUMPRODUCT('Ingreso Tarifas BT1'!$D$3:$D$15,G35:G47)</f>
        <v>303.48645809064294</v>
      </c>
      <c r="H51" s="66">
        <f>SUMPRODUCT('Ingreso Tarifas BT1'!$D$3:$D$15,H35:H47)</f>
        <v>462.46110619299498</v>
      </c>
      <c r="I51" s="66">
        <f>SUMPRODUCT('Ingreso Tarifas BT1'!$D$3:$D$15,I35:I47)</f>
        <v>621.4357542953469</v>
      </c>
      <c r="J51" s="66">
        <f>SUMPRODUCT('Ingreso Tarifas BT1'!$D$3:$D$15,J35:J47)</f>
        <v>200.66097665883439</v>
      </c>
      <c r="K51" s="66">
        <f>SUMPRODUCT('Ingreso Tarifas BT1'!$D$3:$D$15,K35:K47)</f>
        <v>256.81014332937792</v>
      </c>
      <c r="L51" s="66">
        <f>SUMPRODUCT('Ingreso Tarifas BT1'!$D$3:$D$15,L35:L47)</f>
        <v>369.10847667046505</v>
      </c>
      <c r="M51" s="66">
        <f>SUMPRODUCT('Ingreso Tarifas BT1'!$D$3:$D$15,M35:M47)</f>
        <v>481.40681001155201</v>
      </c>
      <c r="N51" s="66">
        <f>SUMPRODUCT('Ingreso Tarifas BT1'!$D$3:$D$15,N35:N47)</f>
        <v>171.45028537632393</v>
      </c>
      <c r="O51" s="66">
        <f>SUMPRODUCT('Ingreso Tarifas BT1'!$D$3:$D$15,O35:O47)</f>
        <v>198.38876076435704</v>
      </c>
      <c r="P51" s="66">
        <f>SUMPRODUCT('Ingreso Tarifas BT1'!$D$3:$D$15,P35:P47)</f>
        <v>252.26571154042327</v>
      </c>
      <c r="Q51" s="66">
        <f>SUMPRODUCT('Ingreso Tarifas BT1'!$D$3:$D$15,Q35:Q47)</f>
        <v>306.14266231648946</v>
      </c>
    </row>
    <row r="52" spans="2:18">
      <c r="C52" s="280" t="s">
        <v>256</v>
      </c>
      <c r="D52" s="67">
        <f>SUMPRODUCT('Ingreso Tarifas BT1'!$C$3:$C$17,D35:D49)</f>
        <v>144.5439719650463</v>
      </c>
      <c r="E52" s="67">
        <f>SUMPRODUCT('Ingreso Tarifas BT1'!$C$3:$C$17,E35:E49)</f>
        <v>1734.2211651944476</v>
      </c>
      <c r="F52" s="67">
        <f>SUMPRODUCT('Ingreso Tarifas BT1'!$C$3:$C$17,F35:F49)</f>
        <v>224.02783162651639</v>
      </c>
      <c r="G52" s="67">
        <f>SUMPRODUCT('Ingreso Tarifas BT1'!$C$3:$C$17,G35:G49)</f>
        <v>303.51169128798654</v>
      </c>
      <c r="H52" s="67">
        <f>SUMPRODUCT('Ingreso Tarifas BT1'!$C$3:$C$17,H35:H49)</f>
        <v>462.47941061092649</v>
      </c>
      <c r="I52" s="67">
        <f>SUMPRODUCT('Ingreso Tarifas BT1'!$C$3:$C$17,I35:I49)</f>
        <v>621.44712993386679</v>
      </c>
      <c r="J52" s="67">
        <f>SUMPRODUCT('Ingreso Tarifas BT1'!$C$3:$C$17,J35:J49)</f>
        <v>200.60176765540058</v>
      </c>
      <c r="K52" s="67">
        <f>SUMPRODUCT('Ingreso Tarifas BT1'!$C$3:$C$17,K35:K49)</f>
        <v>256.65956334575486</v>
      </c>
      <c r="L52" s="67">
        <f>SUMPRODUCT('Ingreso Tarifas BT1'!$C$3:$C$17,L35:L49)</f>
        <v>368.77515472646343</v>
      </c>
      <c r="M52" s="67">
        <f>SUMPRODUCT('Ingreso Tarifas BT1'!$C$3:$C$17,M35:M49)</f>
        <v>480.89074610717182</v>
      </c>
      <c r="N52" s="67">
        <f>SUMPRODUCT('Ingreso Tarifas BT1'!$C$3:$C$17,N35:N49)</f>
        <v>171.4235459915887</v>
      </c>
      <c r="O52" s="67">
        <f>SUMPRODUCT('Ingreso Tarifas BT1'!$C$3:$C$17,O35:O49)</f>
        <v>198.30312001813107</v>
      </c>
      <c r="P52" s="67">
        <f>SUMPRODUCT('Ingreso Tarifas BT1'!$C$3:$C$17,P35:P49)</f>
        <v>252.06226807121593</v>
      </c>
      <c r="Q52" s="67">
        <f>SUMPRODUCT('Ingreso Tarifas BT1'!$C$3:$C$17,Q35:Q49)</f>
        <v>305.82141612430075</v>
      </c>
    </row>
    <row r="55" spans="2:18">
      <c r="C55" s="368" t="s">
        <v>260</v>
      </c>
      <c r="D55" s="279" t="s">
        <v>257</v>
      </c>
      <c r="E55" s="363" t="s">
        <v>258</v>
      </c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</row>
    <row r="56" spans="2:18">
      <c r="C56" s="369"/>
      <c r="D56" s="370" t="s">
        <v>254</v>
      </c>
      <c r="E56" s="363" t="s">
        <v>250</v>
      </c>
      <c r="F56" s="365"/>
      <c r="G56" s="365"/>
      <c r="H56" s="364"/>
      <c r="I56" s="363" t="s">
        <v>251</v>
      </c>
      <c r="J56" s="365"/>
      <c r="K56" s="365"/>
      <c r="L56" s="364"/>
      <c r="M56" s="363" t="s">
        <v>252</v>
      </c>
      <c r="N56" s="365"/>
      <c r="O56" s="365"/>
      <c r="P56" s="364"/>
    </row>
    <row r="57" spans="2:18">
      <c r="C57" s="280" t="s">
        <v>34</v>
      </c>
      <c r="D57" s="371"/>
      <c r="E57" s="280">
        <v>0.05</v>
      </c>
      <c r="F57" s="280">
        <v>0.1</v>
      </c>
      <c r="G57" s="280">
        <v>0.2</v>
      </c>
      <c r="H57" s="280">
        <v>0.3</v>
      </c>
      <c r="I57" s="280">
        <v>0.05</v>
      </c>
      <c r="J57" s="280">
        <v>0.1</v>
      </c>
      <c r="K57" s="280">
        <v>0.2</v>
      </c>
      <c r="L57" s="280">
        <v>0.3</v>
      </c>
      <c r="M57" s="280">
        <v>0.05</v>
      </c>
      <c r="N57" s="280">
        <v>0.1</v>
      </c>
      <c r="O57" s="280">
        <v>0.2</v>
      </c>
      <c r="P57" s="280">
        <v>0.3</v>
      </c>
    </row>
    <row r="58" spans="2:18">
      <c r="C58" s="280" t="s">
        <v>43</v>
      </c>
      <c r="D58" s="63">
        <f>E51</f>
        <v>1734.2582910118115</v>
      </c>
      <c r="E58" s="63">
        <v>223.99913403946701</v>
      </c>
      <c r="F58" s="63">
        <v>303.48645809064294</v>
      </c>
      <c r="G58" s="63">
        <v>462.46110619299498</v>
      </c>
      <c r="H58" s="63">
        <v>621.4357542953469</v>
      </c>
      <c r="I58" s="63">
        <v>200.66097665883439</v>
      </c>
      <c r="J58" s="63">
        <v>256.81014332937792</v>
      </c>
      <c r="K58" s="63">
        <v>369.10847667046505</v>
      </c>
      <c r="L58" s="63">
        <v>481.40681001155201</v>
      </c>
      <c r="M58" s="63">
        <v>171.45028537632393</v>
      </c>
      <c r="N58" s="63">
        <v>198.38876076435704</v>
      </c>
      <c r="O58" s="63">
        <v>252.26571154042327</v>
      </c>
      <c r="P58" s="63">
        <v>306.14266231648946</v>
      </c>
    </row>
    <row r="59" spans="2:18" ht="27.6">
      <c r="C59" s="280" t="s">
        <v>59</v>
      </c>
      <c r="D59" s="63">
        <f>E50</f>
        <v>1627.3393197916466</v>
      </c>
      <c r="E59" s="63">
        <f t="shared" ref="E59:P59" si="29">F50</f>
        <v>212.46696598958232</v>
      </c>
      <c r="F59" s="63">
        <f t="shared" si="29"/>
        <v>286.93393197916464</v>
      </c>
      <c r="G59" s="63">
        <f t="shared" si="29"/>
        <v>435.86786395832934</v>
      </c>
      <c r="H59" s="63">
        <f t="shared" si="29"/>
        <v>584.80179593749392</v>
      </c>
      <c r="I59" s="63">
        <f t="shared" si="29"/>
        <v>184.55569613042394</v>
      </c>
      <c r="J59" s="63">
        <f t="shared" si="29"/>
        <v>231.11139226084794</v>
      </c>
      <c r="K59" s="63">
        <f t="shared" si="29"/>
        <v>324.22278452169587</v>
      </c>
      <c r="L59" s="63">
        <f t="shared" si="29"/>
        <v>417.33417678254375</v>
      </c>
      <c r="M59" s="63">
        <f t="shared" si="29"/>
        <v>159.31140224236319</v>
      </c>
      <c r="N59" s="63">
        <f t="shared" si="29"/>
        <v>180.62280448472634</v>
      </c>
      <c r="O59" s="63">
        <f t="shared" si="29"/>
        <v>223.24560896945272</v>
      </c>
      <c r="P59" s="63">
        <f t="shared" si="29"/>
        <v>265.86841345417906</v>
      </c>
    </row>
    <row r="60" spans="2:18">
      <c r="C60" s="280" t="s">
        <v>47</v>
      </c>
      <c r="D60" s="63">
        <f>E48</f>
        <v>1817.9817280281077</v>
      </c>
      <c r="E60" s="63">
        <f t="shared" ref="E60:P60" si="30">F48</f>
        <v>237.3574197347387</v>
      </c>
      <c r="F60" s="63">
        <f t="shared" si="30"/>
        <v>320.54817280281071</v>
      </c>
      <c r="G60" s="63">
        <f t="shared" si="30"/>
        <v>486.92967893895479</v>
      </c>
      <c r="H60" s="63">
        <f t="shared" si="30"/>
        <v>653.31118507509882</v>
      </c>
      <c r="I60" s="63">
        <f t="shared" si="30"/>
        <v>206.17635135343255</v>
      </c>
      <c r="J60" s="63">
        <f t="shared" si="30"/>
        <v>258.18603604019847</v>
      </c>
      <c r="K60" s="63">
        <f t="shared" si="30"/>
        <v>362.20540541373026</v>
      </c>
      <c r="L60" s="63">
        <f t="shared" si="30"/>
        <v>466.22477478726205</v>
      </c>
      <c r="M60" s="63">
        <f t="shared" si="30"/>
        <v>177.97469453404099</v>
      </c>
      <c r="N60" s="63">
        <f t="shared" si="30"/>
        <v>201.7827224014153</v>
      </c>
      <c r="O60" s="63">
        <f t="shared" si="30"/>
        <v>249.39877813616394</v>
      </c>
      <c r="P60" s="63">
        <f t="shared" si="30"/>
        <v>297.01483387091258</v>
      </c>
    </row>
    <row r="61" spans="2:18">
      <c r="C61" s="280" t="s">
        <v>259</v>
      </c>
      <c r="D61" s="63">
        <f>E49</f>
        <v>1694.2279448120682</v>
      </c>
      <c r="E61" s="63">
        <f t="shared" ref="E61:P61" si="31">F49</f>
        <v>221.2000083517145</v>
      </c>
      <c r="F61" s="63">
        <f t="shared" si="31"/>
        <v>298.72779448120679</v>
      </c>
      <c r="G61" s="63">
        <f t="shared" si="31"/>
        <v>453.78336674019141</v>
      </c>
      <c r="H61" s="63">
        <f t="shared" si="31"/>
        <v>608.83893899917587</v>
      </c>
      <c r="I61" s="63">
        <f t="shared" si="31"/>
        <v>192.14149990454484</v>
      </c>
      <c r="J61" s="63">
        <f t="shared" si="31"/>
        <v>240.61077758686747</v>
      </c>
      <c r="K61" s="63">
        <f t="shared" si="31"/>
        <v>337.54933295151272</v>
      </c>
      <c r="L61" s="63">
        <f t="shared" si="31"/>
        <v>434.48788831615798</v>
      </c>
      <c r="M61" s="63">
        <f t="shared" si="31"/>
        <v>165.85958830071473</v>
      </c>
      <c r="N61" s="63">
        <f t="shared" si="31"/>
        <v>188.04695437920725</v>
      </c>
      <c r="O61" s="63">
        <f t="shared" si="31"/>
        <v>232.42168653619228</v>
      </c>
      <c r="P61" s="63">
        <f t="shared" si="31"/>
        <v>276.79641869317732</v>
      </c>
    </row>
  </sheetData>
  <sheetProtection algorithmName="SHA-512" hashValue="CY0iXG7NagTbGgfaGDweL1UPNo8mQGrgurzq0kCrcCcpGlyErJo2I6Lz9cG2Wnl/OHfVficpoNJRZpg2TH40vQ==" saltValue="tYzupcQ3sA8duFJuIwNS5A==" spinCount="100000" sheet="1" objects="1" scenarios="1"/>
  <mergeCells count="12">
    <mergeCell ref="M56:P56"/>
    <mergeCell ref="C21:F21"/>
    <mergeCell ref="C2:C3"/>
    <mergeCell ref="C33:D33"/>
    <mergeCell ref="E33:I33"/>
    <mergeCell ref="J33:M33"/>
    <mergeCell ref="N33:Q33"/>
    <mergeCell ref="C55:C56"/>
    <mergeCell ref="E55:P55"/>
    <mergeCell ref="D56:D57"/>
    <mergeCell ref="E56:H56"/>
    <mergeCell ref="I56:L56"/>
  </mergeCells>
  <pageMargins left="0.7" right="0.7" top="0.75" bottom="0.75" header="0.3" footer="0.3"/>
  <ignoredErrors>
    <ignoredError sqref="E4:E15 E16:E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Jacques Clerc</dc:creator>
  <cp:keywords/>
  <dc:description/>
  <cp:lastModifiedBy/>
  <cp:revision/>
  <dcterms:created xsi:type="dcterms:W3CDTF">2020-10-08T15:40:40Z</dcterms:created>
  <dcterms:modified xsi:type="dcterms:W3CDTF">2021-01-08T13:24:32Z</dcterms:modified>
  <cp:category/>
  <cp:contentStatus/>
</cp:coreProperties>
</file>